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H:\2 Adviesverlening In den Roden Schilt\Projecten\2018 Biomassaplein\"/>
    </mc:Choice>
  </mc:AlternateContent>
  <xr:revisionPtr revIDLastSave="0" documentId="13_ncr:1_{E2E3976D-6F82-41E8-A9E2-B35618D6D682}" xr6:coauthVersionLast="45" xr6:coauthVersionMax="45" xr10:uidLastSave="{00000000-0000-0000-0000-000000000000}"/>
  <workbookProtection workbookAlgorithmName="SHA-512" workbookHashValue="cLkr3OrXOOK1+zgNAXpsXCL2Hm+kwcC0zkXaKVGXxNM8GEyVzBew74tHWv/n4NREQNMXfOeBnTyyjtUi5r26oQ==" workbookSaltValue="WbxNdjTKeRMq6+9AZt52cQ==" workbookSpinCount="100000" lockStructure="1"/>
  <bookViews>
    <workbookView xWindow="-110" yWindow="-110" windowWidth="19420" windowHeight="10420" xr2:uid="{1EE0BB68-7844-4892-811A-BD8B5F1291AE}"/>
  </bookViews>
  <sheets>
    <sheet name="Inleiding" sheetId="4" r:id="rId1"/>
    <sheet name="(Warmtevraag)" sheetId="3" r:id="rId2"/>
    <sheet name="Technische Installatie" sheetId="1" r:id="rId3"/>
    <sheet name="Economische Analyse" sheetId="2" r:id="rId4"/>
    <sheet name="Masterdata" sheetId="5" state="hidden" r:id="rId5"/>
  </sheets>
  <definedNames>
    <definedName name="Acht">Masterdata!$L$42:$L$53</definedName>
    <definedName name="Drie">Masterdata!$G$42:$G$53</definedName>
    <definedName name="Een">Masterdata!$E$42:$E$53</definedName>
    <definedName name="Elf">Masterdata!$O$42:$O$53</definedName>
    <definedName name="Negen">Masterdata!$M$42:$M$53</definedName>
    <definedName name="Rangorde">Masterdata!$C$42:$C$53</definedName>
    <definedName name="Tien">Masterdata!$N$42:$N$53</definedName>
    <definedName name="Twaalf">Masterdata!$P$42:$P$53</definedName>
    <definedName name="Twee">Masterdata!$F$42:$F$53</definedName>
    <definedName name="Vier">Masterdata!$H$42:$H$53</definedName>
    <definedName name="Vijf">Masterdata!$I$42:$I$53</definedName>
    <definedName name="Zes">Masterdata!$J$42:$J$53</definedName>
    <definedName name="Zeven">Masterdata!$K$42:$K$53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5" l="1"/>
  <c r="Q74" i="3" l="1"/>
  <c r="C102" i="3"/>
  <c r="Q72" i="3"/>
  <c r="M16" i="3"/>
  <c r="F18" i="2"/>
  <c r="G18" i="2" s="1"/>
  <c r="G34" i="2"/>
  <c r="D24" i="5"/>
  <c r="D25" i="5"/>
  <c r="D26" i="5"/>
  <c r="D27" i="5"/>
  <c r="D28" i="5"/>
  <c r="D23" i="5"/>
  <c r="C32" i="5"/>
  <c r="C31" i="5"/>
  <c r="G37" i="2"/>
  <c r="G33" i="2"/>
  <c r="G15" i="2"/>
  <c r="G17" i="2"/>
  <c r="G16" i="2"/>
  <c r="F8" i="1"/>
  <c r="C24" i="5"/>
  <c r="C25" i="5"/>
  <c r="C26" i="5"/>
  <c r="C27" i="5"/>
  <c r="C28" i="5"/>
  <c r="G16" i="1"/>
  <c r="G23" i="1"/>
  <c r="G15" i="1"/>
  <c r="G14" i="1"/>
  <c r="G13" i="1"/>
  <c r="G21" i="2" l="1"/>
  <c r="F21" i="2"/>
  <c r="F17" i="1"/>
  <c r="G12" i="1"/>
  <c r="G17" i="1" s="1"/>
  <c r="P19" i="3"/>
  <c r="M19" i="3" s="1"/>
  <c r="E90" i="3"/>
  <c r="E101" i="3" l="1"/>
  <c r="H101" i="3" s="1"/>
  <c r="E100" i="3"/>
  <c r="H100" i="3" s="1"/>
  <c r="E99" i="3"/>
  <c r="E98" i="3"/>
  <c r="H98" i="3" s="1"/>
  <c r="E97" i="3"/>
  <c r="H97" i="3" s="1"/>
  <c r="E96" i="3"/>
  <c r="H96" i="3" s="1"/>
  <c r="E95" i="3"/>
  <c r="H95" i="3" s="1"/>
  <c r="E94" i="3"/>
  <c r="E93" i="3"/>
  <c r="H93" i="3" s="1"/>
  <c r="E92" i="3"/>
  <c r="H92" i="3" s="1"/>
  <c r="E91" i="3"/>
  <c r="D91" i="3"/>
  <c r="D92" i="3"/>
  <c r="D93" i="3"/>
  <c r="D94" i="3"/>
  <c r="D95" i="3"/>
  <c r="D96" i="3"/>
  <c r="D97" i="3"/>
  <c r="D98" i="3"/>
  <c r="D99" i="3"/>
  <c r="D100" i="3"/>
  <c r="D101" i="3"/>
  <c r="D90" i="3"/>
  <c r="Q61" i="3"/>
  <c r="Q55" i="3"/>
  <c r="Q45" i="3"/>
  <c r="Q32" i="3"/>
  <c r="M17" i="3"/>
  <c r="M18" i="3" s="1"/>
  <c r="Q30" i="3" l="1"/>
  <c r="Q16" i="3"/>
  <c r="C80" i="3" s="1"/>
  <c r="Q80" i="3" s="1"/>
  <c r="Q53" i="3"/>
  <c r="C81" i="3" s="1"/>
  <c r="Q81" i="3" s="1"/>
  <c r="J90" i="3" s="1"/>
  <c r="F96" i="3"/>
  <c r="F90" i="3"/>
  <c r="F94" i="3"/>
  <c r="F91" i="3"/>
  <c r="F99" i="3"/>
  <c r="F97" i="3"/>
  <c r="D102" i="3"/>
  <c r="F100" i="3"/>
  <c r="F101" i="3"/>
  <c r="F93" i="3"/>
  <c r="F92" i="3"/>
  <c r="F95" i="3"/>
  <c r="H99" i="3"/>
  <c r="H91" i="3"/>
  <c r="H94" i="3"/>
  <c r="F98" i="3"/>
  <c r="H90" i="3"/>
  <c r="G8" i="1"/>
  <c r="F5" i="1" l="1"/>
  <c r="F18" i="1" s="1"/>
  <c r="F27" i="1" s="1"/>
  <c r="J98" i="3"/>
  <c r="J101" i="3"/>
  <c r="J100" i="3"/>
  <c r="J93" i="3"/>
  <c r="J95" i="3"/>
  <c r="J92" i="3"/>
  <c r="J99" i="3"/>
  <c r="J96" i="3"/>
  <c r="J97" i="3"/>
  <c r="J94" i="3"/>
  <c r="J91" i="3"/>
  <c r="F102" i="3"/>
  <c r="H102" i="3"/>
  <c r="I90" i="3" s="1"/>
  <c r="L90" i="3" s="1"/>
  <c r="K90" i="3" s="1"/>
  <c r="B42" i="5" s="1"/>
  <c r="I97" i="3" l="1"/>
  <c r="I99" i="3"/>
  <c r="I96" i="3"/>
  <c r="I91" i="3"/>
  <c r="L91" i="3" s="1"/>
  <c r="K91" i="3" s="1"/>
  <c r="B43" i="5" s="1"/>
  <c r="I101" i="3"/>
  <c r="I92" i="3"/>
  <c r="I100" i="3"/>
  <c r="I93" i="3"/>
  <c r="I98" i="3"/>
  <c r="I94" i="3"/>
  <c r="I95" i="3"/>
  <c r="F19" i="1"/>
  <c r="F20" i="1"/>
  <c r="F26" i="1" s="1"/>
  <c r="J102" i="3"/>
  <c r="L97" i="3" l="1"/>
  <c r="K97" i="3" s="1"/>
  <c r="B49" i="5" s="1"/>
  <c r="L100" i="3"/>
  <c r="K100" i="3" s="1"/>
  <c r="B52" i="5" s="1"/>
  <c r="L93" i="3"/>
  <c r="K93" i="3" s="1"/>
  <c r="B45" i="5" s="1"/>
  <c r="L92" i="3"/>
  <c r="K92" i="3" s="1"/>
  <c r="B44" i="5" s="1"/>
  <c r="L94" i="3"/>
  <c r="K94" i="3" s="1"/>
  <c r="B46" i="5" s="1"/>
  <c r="L96" i="3"/>
  <c r="K96" i="3" s="1"/>
  <c r="B48" i="5" s="1"/>
  <c r="L95" i="3"/>
  <c r="K95" i="3" s="1"/>
  <c r="B47" i="5" s="1"/>
  <c r="L99" i="3"/>
  <c r="K99" i="3" s="1"/>
  <c r="B51" i="5" s="1"/>
  <c r="L98" i="3"/>
  <c r="K98" i="3" s="1"/>
  <c r="B50" i="5" s="1"/>
  <c r="L101" i="3"/>
  <c r="K101" i="3" s="1"/>
  <c r="B53" i="5" s="1"/>
  <c r="I102" i="3"/>
  <c r="L102" i="3" s="1"/>
  <c r="G5" i="1" s="1"/>
  <c r="D50" i="5" l="1"/>
  <c r="D49" i="5"/>
  <c r="C44" i="5"/>
  <c r="D44" i="5"/>
  <c r="D47" i="5"/>
  <c r="C45" i="5"/>
  <c r="D45" i="5"/>
  <c r="D42" i="5"/>
  <c r="D46" i="5"/>
  <c r="D51" i="5"/>
  <c r="D53" i="5"/>
  <c r="D48" i="5"/>
  <c r="D52" i="5"/>
  <c r="D43" i="5"/>
  <c r="C51" i="5"/>
  <c r="C47" i="5"/>
  <c r="C53" i="5"/>
  <c r="C48" i="5"/>
  <c r="C52" i="5"/>
  <c r="C50" i="5"/>
  <c r="C46" i="5"/>
  <c r="C49" i="5"/>
  <c r="C43" i="5"/>
  <c r="C42" i="5"/>
  <c r="G18" i="1"/>
  <c r="G27" i="1" s="1"/>
  <c r="M42" i="5" l="1"/>
  <c r="M43" i="5" s="1"/>
  <c r="M44" i="5" s="1"/>
  <c r="M45" i="5" s="1"/>
  <c r="M46" i="5" s="1"/>
  <c r="M47" i="5" s="1"/>
  <c r="M48" i="5" s="1"/>
  <c r="M49" i="5" s="1"/>
  <c r="M50" i="5" s="1"/>
  <c r="M51" i="5" s="1"/>
  <c r="M52" i="5" s="1"/>
  <c r="M53" i="5" s="1"/>
  <c r="I42" i="5"/>
  <c r="I43" i="5" s="1"/>
  <c r="I44" i="5" s="1"/>
  <c r="I45" i="5" s="1"/>
  <c r="I46" i="5" s="1"/>
  <c r="I47" i="5" s="1"/>
  <c r="I48" i="5" s="1"/>
  <c r="I49" i="5" s="1"/>
  <c r="I50" i="5" s="1"/>
  <c r="I51" i="5" s="1"/>
  <c r="I52" i="5" s="1"/>
  <c r="E42" i="5"/>
  <c r="E43" i="5" s="1"/>
  <c r="E44" i="5" s="1"/>
  <c r="E45" i="5" s="1"/>
  <c r="E46" i="5" s="1"/>
  <c r="E47" i="5" s="1"/>
  <c r="E48" i="5" s="1"/>
  <c r="E49" i="5" s="1"/>
  <c r="E50" i="5" s="1"/>
  <c r="E51" i="5" s="1"/>
  <c r="E52" i="5" s="1"/>
  <c r="E53" i="5" s="1"/>
  <c r="N42" i="5"/>
  <c r="N43" i="5" s="1"/>
  <c r="N44" i="5" s="1"/>
  <c r="N45" i="5" s="1"/>
  <c r="N46" i="5" s="1"/>
  <c r="N47" i="5" s="1"/>
  <c r="N48" i="5" s="1"/>
  <c r="N49" i="5" s="1"/>
  <c r="N50" i="5" s="1"/>
  <c r="N51" i="5" s="1"/>
  <c r="N52" i="5" s="1"/>
  <c r="N53" i="5" s="1"/>
  <c r="P42" i="5"/>
  <c r="P43" i="5" s="1"/>
  <c r="P44" i="5" s="1"/>
  <c r="P45" i="5" s="1"/>
  <c r="L42" i="5"/>
  <c r="L43" i="5" s="1"/>
  <c r="L44" i="5" s="1"/>
  <c r="L45" i="5" s="1"/>
  <c r="L46" i="5" s="1"/>
  <c r="L47" i="5" s="1"/>
  <c r="L48" i="5" s="1"/>
  <c r="L49" i="5" s="1"/>
  <c r="L50" i="5" s="1"/>
  <c r="L51" i="5" s="1"/>
  <c r="L52" i="5" s="1"/>
  <c r="L53" i="5" s="1"/>
  <c r="H42" i="5"/>
  <c r="H43" i="5" s="1"/>
  <c r="H44" i="5" s="1"/>
  <c r="J42" i="5"/>
  <c r="J43" i="5" s="1"/>
  <c r="J44" i="5" s="1"/>
  <c r="J45" i="5" s="1"/>
  <c r="J46" i="5" s="1"/>
  <c r="J47" i="5" s="1"/>
  <c r="J48" i="5" s="1"/>
  <c r="J49" i="5" s="1"/>
  <c r="J50" i="5" s="1"/>
  <c r="J51" i="5" s="1"/>
  <c r="J52" i="5" s="1"/>
  <c r="J53" i="5" s="1"/>
  <c r="O42" i="5"/>
  <c r="O43" i="5" s="1"/>
  <c r="O44" i="5" s="1"/>
  <c r="O45" i="5" s="1"/>
  <c r="O46" i="5" s="1"/>
  <c r="O47" i="5" s="1"/>
  <c r="O48" i="5" s="1"/>
  <c r="O49" i="5" s="1"/>
  <c r="O50" i="5" s="1"/>
  <c r="O51" i="5" s="1"/>
  <c r="O52" i="5" s="1"/>
  <c r="O53" i="5" s="1"/>
  <c r="K42" i="5"/>
  <c r="K43" i="5" s="1"/>
  <c r="K44" i="5" s="1"/>
  <c r="K45" i="5" s="1"/>
  <c r="K46" i="5" s="1"/>
  <c r="K47" i="5" s="1"/>
  <c r="K48" i="5" s="1"/>
  <c r="K49" i="5" s="1"/>
  <c r="K50" i="5" s="1"/>
  <c r="K51" i="5" s="1"/>
  <c r="K52" i="5" s="1"/>
  <c r="K53" i="5" s="1"/>
  <c r="G42" i="5"/>
  <c r="G43" i="5" s="1"/>
  <c r="F42" i="5"/>
  <c r="G19" i="1"/>
  <c r="G19" i="2" s="1"/>
  <c r="G20" i="1"/>
  <c r="G26" i="1" s="1"/>
  <c r="F20" i="2"/>
  <c r="G20" i="2"/>
  <c r="Q42" i="5" l="1"/>
  <c r="R42" i="5" s="1"/>
  <c r="B114" i="3"/>
  <c r="D114" i="3" s="1"/>
  <c r="I53" i="5"/>
  <c r="G44" i="5"/>
  <c r="G45" i="5" s="1"/>
  <c r="G46" i="5" s="1"/>
  <c r="G47" i="5" s="1"/>
  <c r="G48" i="5" s="1"/>
  <c r="G49" i="5" s="1"/>
  <c r="G50" i="5" s="1"/>
  <c r="G51" i="5" s="1"/>
  <c r="G52" i="5" s="1"/>
  <c r="G53" i="5" s="1"/>
  <c r="Q45" i="5"/>
  <c r="R45" i="5" s="1"/>
  <c r="P46" i="5"/>
  <c r="H45" i="5"/>
  <c r="H46" i="5" s="1"/>
  <c r="H47" i="5" s="1"/>
  <c r="H48" i="5" s="1"/>
  <c r="H49" i="5" s="1"/>
  <c r="H50" i="5" s="1"/>
  <c r="H51" i="5" s="1"/>
  <c r="H52" i="5" s="1"/>
  <c r="H53" i="5" s="1"/>
  <c r="Q44" i="5"/>
  <c r="R44" i="5" s="1"/>
  <c r="F43" i="5"/>
  <c r="F44" i="5" s="1"/>
  <c r="F45" i="5" s="1"/>
  <c r="F46" i="5" s="1"/>
  <c r="F47" i="5" s="1"/>
  <c r="F48" i="5" s="1"/>
  <c r="F49" i="5" s="1"/>
  <c r="F50" i="5" s="1"/>
  <c r="F51" i="5" s="1"/>
  <c r="F52" i="5" s="1"/>
  <c r="F53" i="5" s="1"/>
  <c r="F19" i="2"/>
  <c r="Q43" i="5" l="1"/>
  <c r="R43" i="5" s="1"/>
  <c r="B117" i="3" s="1"/>
  <c r="B115" i="3"/>
  <c r="P47" i="5"/>
  <c r="Q46" i="5"/>
  <c r="R46" i="5" s="1"/>
  <c r="G114" i="3"/>
  <c r="C114" i="3"/>
  <c r="C149" i="3" s="1"/>
  <c r="F7" i="1" s="1"/>
  <c r="E114" i="3"/>
  <c r="C2" i="5" s="1"/>
  <c r="P48" i="5" l="1"/>
  <c r="Q47" i="5"/>
  <c r="R47" i="5" s="1"/>
  <c r="G7" i="1"/>
  <c r="P49" i="5" l="1"/>
  <c r="Q48" i="5"/>
  <c r="R48" i="5" s="1"/>
  <c r="Q49" i="5" l="1"/>
  <c r="R49" i="5" s="1"/>
  <c r="B121" i="3" s="1"/>
  <c r="D121" i="3" s="1"/>
  <c r="P50" i="5"/>
  <c r="C115" i="3"/>
  <c r="G121" i="3" l="1"/>
  <c r="D8" i="5" s="1"/>
  <c r="C121" i="3"/>
  <c r="Q50" i="5"/>
  <c r="R50" i="5" s="1"/>
  <c r="P51" i="5"/>
  <c r="G115" i="3"/>
  <c r="D2" i="5" s="1"/>
  <c r="D115" i="3"/>
  <c r="E115" i="3" s="1"/>
  <c r="C3" i="5" s="1"/>
  <c r="D117" i="3"/>
  <c r="C117" i="3"/>
  <c r="G117" i="3"/>
  <c r="D4" i="5" s="1"/>
  <c r="B122" i="3" l="1"/>
  <c r="P52" i="5"/>
  <c r="Q51" i="5"/>
  <c r="R51" i="5" s="1"/>
  <c r="B119" i="3" s="1"/>
  <c r="P53" i="5" l="1"/>
  <c r="Q53" i="5" s="1"/>
  <c r="R53" i="5" s="1"/>
  <c r="Q52" i="5"/>
  <c r="R52" i="5" s="1"/>
  <c r="C122" i="3"/>
  <c r="D122" i="3"/>
  <c r="G122" i="3"/>
  <c r="D9" i="5" s="1"/>
  <c r="B120" i="3"/>
  <c r="D119" i="3"/>
  <c r="G119" i="3"/>
  <c r="D6" i="5" s="1"/>
  <c r="C119" i="3"/>
  <c r="B124" i="3"/>
  <c r="B123" i="3"/>
  <c r="B116" i="3"/>
  <c r="B125" i="3"/>
  <c r="B118" i="3"/>
  <c r="D120" i="3" l="1"/>
  <c r="G120" i="3"/>
  <c r="D7" i="5" s="1"/>
  <c r="C120" i="3"/>
  <c r="D116" i="3"/>
  <c r="G116" i="3"/>
  <c r="D3" i="5" s="1"/>
  <c r="C116" i="3"/>
  <c r="D123" i="3"/>
  <c r="C123" i="3"/>
  <c r="G123" i="3"/>
  <c r="D10" i="5" s="1"/>
  <c r="C125" i="3"/>
  <c r="D125" i="3"/>
  <c r="G125" i="3"/>
  <c r="D12" i="5" s="1"/>
  <c r="G118" i="3"/>
  <c r="D5" i="5" s="1"/>
  <c r="C118" i="3"/>
  <c r="D118" i="3"/>
  <c r="G124" i="3"/>
  <c r="D11" i="5" s="1"/>
  <c r="D124" i="3"/>
  <c r="C124" i="3"/>
  <c r="C126" i="3" l="1"/>
  <c r="D126" i="3"/>
  <c r="E116" i="3"/>
  <c r="E117" i="3" l="1"/>
  <c r="C4" i="5"/>
  <c r="E118" i="3" l="1"/>
  <c r="C5" i="5"/>
  <c r="E119" i="3" l="1"/>
  <c r="C6" i="5"/>
  <c r="E120" i="3" l="1"/>
  <c r="C7" i="5"/>
  <c r="C140" i="3" l="1"/>
  <c r="F6" i="1" s="1"/>
  <c r="F25" i="1" s="1"/>
  <c r="E121" i="3"/>
  <c r="C8" i="5"/>
  <c r="G6" i="1" l="1"/>
  <c r="G25" i="1" s="1"/>
  <c r="F24" i="1"/>
  <c r="E122" i="3"/>
  <c r="C9" i="5"/>
  <c r="G24" i="1" l="1"/>
  <c r="G36" i="2" s="1"/>
  <c r="G39" i="2" s="1"/>
  <c r="E123" i="3"/>
  <c r="C10" i="5"/>
  <c r="G38" i="2" l="1"/>
  <c r="F6" i="2"/>
  <c r="G6" i="2" s="1"/>
  <c r="E124" i="3"/>
  <c r="C11" i="5"/>
  <c r="F7" i="2" l="1"/>
  <c r="G8" i="2"/>
  <c r="F24" i="2" s="1"/>
  <c r="G24" i="2" s="1"/>
  <c r="F11" i="2"/>
  <c r="F8" i="2"/>
  <c r="G7" i="2"/>
  <c r="F23" i="2" s="1"/>
  <c r="G23" i="2" s="1"/>
  <c r="G9" i="2"/>
  <c r="F25" i="2" s="1"/>
  <c r="G25" i="2" s="1"/>
  <c r="G10" i="2"/>
  <c r="F10" i="2"/>
  <c r="G11" i="2"/>
  <c r="F9" i="2"/>
  <c r="F22" i="2"/>
  <c r="G22" i="2"/>
  <c r="E125" i="3"/>
  <c r="C13" i="5" s="1"/>
  <c r="C12" i="5"/>
  <c r="G12" i="2" l="1"/>
  <c r="F12" i="2"/>
  <c r="F26" i="2" l="1"/>
  <c r="F27" i="2"/>
  <c r="G27" i="2" s="1"/>
  <c r="G26" i="2" l="1"/>
  <c r="G28" i="2" s="1"/>
  <c r="F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 Den Roden Schilt</author>
  </authors>
  <commentList>
    <comment ref="M16" authorId="0" shapeId="0" xr:uid="{AF0D9DB1-A783-481B-93A5-06824AE37799}">
      <text>
        <r>
          <rPr>
            <b/>
            <sz val="9"/>
            <color indexed="81"/>
            <rFont val="Tahoma"/>
            <family val="2"/>
          </rPr>
          <t>Gerekend met 10,3  kWh/m³</t>
        </r>
      </text>
    </comment>
    <comment ref="M17" authorId="0" shapeId="0" xr:uid="{A6AD5680-4287-4490-93E5-DDBF2B6A7BAC}">
      <text>
        <r>
          <rPr>
            <b/>
            <sz val="9"/>
            <color indexed="81"/>
            <rFont val="Tahoma"/>
            <family val="2"/>
          </rPr>
          <t>Gerekend met 10,78 kWh/l</t>
        </r>
      </text>
    </comment>
  </commentList>
</comments>
</file>

<file path=xl/sharedStrings.xml><?xml version="1.0" encoding="utf-8"?>
<sst xmlns="http://schemas.openxmlformats.org/spreadsheetml/2006/main" count="392" uniqueCount="255">
  <si>
    <t>Verwarmen met houtsnippers</t>
  </si>
  <si>
    <t>Eenheid</t>
  </si>
  <si>
    <t>Afkorting</t>
  </si>
  <si>
    <t>Beschrijving</t>
  </si>
  <si>
    <t>Warmtevraag</t>
  </si>
  <si>
    <t>Totale jaarlijkse warmtevraag</t>
  </si>
  <si>
    <t>Pieklast</t>
  </si>
  <si>
    <t>Basislast</t>
  </si>
  <si>
    <t>Draaiuren</t>
  </si>
  <si>
    <t>Referentiewaarde</t>
  </si>
  <si>
    <t>Projectwaarde</t>
  </si>
  <si>
    <t>h</t>
  </si>
  <si>
    <t>kW</t>
  </si>
  <si>
    <t>kWh/jaar</t>
  </si>
  <si>
    <t>Installatie</t>
  </si>
  <si>
    <t>Efficiëntie ketel</t>
  </si>
  <si>
    <t>Jaarlijkse brandstofverbruik</t>
  </si>
  <si>
    <t>kg/jaar</t>
  </si>
  <si>
    <t>Asgehalte houtsnippers</t>
  </si>
  <si>
    <t>%</t>
  </si>
  <si>
    <t>De rekentool heeft de bedoeling om tot een eerste inschatting te komen van de nodige vermogens en bijhorende houtsnippers die nodig zijn om de warmtevraag in te vullen.</t>
  </si>
  <si>
    <t>Deze rekentool heeft geenzins de bedoeling om te dienen als volwaardige dimensionering van een volledige installatie.</t>
  </si>
  <si>
    <t>Om tot een volwaardige dimensionering te komen, dient een expert volgens de normen en met meer gedetailleerde informatie aan de slag te gaan.</t>
  </si>
  <si>
    <t xml:space="preserve">Indien het project dat U wil doorrekenen reeds beschikt over een inschatting, berekening of meting van uw gemiddeld jaarlijkse warmtevraag met bijhorende pieklast, basislast en aantal draaiuren; </t>
  </si>
  <si>
    <t>Legende:</t>
  </si>
  <si>
    <t xml:space="preserve">De groene cellen zijn de cellen waar de waarden specifiek van het project ingegeven kunnen worden. </t>
  </si>
  <si>
    <t>1. Berekening van de transmissieverliezen, de verliezen door ventilatie en de infiltratieverliezen volgens</t>
  </si>
  <si>
    <t>de norm NBN B 62-003 (1986), aangepast met het oog op de integratie van de Europese norm NBN EN 12831 (2003).</t>
  </si>
  <si>
    <t>de norm NBN B 62-002 (2008) ‘Thermische prestaties van gebouwen - berekening van de warmtedoorgangscoëfficiënten (U-waarden) van gebouwcomponenten en gebouwelementen - Berekening van de warmteoverdrachtscoëfficiënten door transmissie (HT-waarde) en ventilatie (Hv-waarde)'.</t>
  </si>
  <si>
    <t>2. Het vermogen en het startvermogen bepalen, de cascadevermogens toevoegen (altijd berekend in kW) en de retourtemperatuur bepalen</t>
  </si>
  <si>
    <t>de Europese norm NBN EN 12828 'Verwarmingssystemen in gebouwen. Ontwerp van verwarmingssystemen met water', die ontwerpcriteria geeft voor verwarmingsinstallaties met water in gebouwen, met een maximale bedrijfstemperatuur die niet hoger is dan 105°C.</t>
  </si>
  <si>
    <t>3. De norm NBN EN 15459 (2008) 'Energieprestatie van gebouwen- Economische beoordelingsprocedure voor energiesystemen in gebouwen' levert een rekenmethode voor de economische aspecten van verwarmingssystemen en andere systemen die een rol spelen in de energievraag en het energieverbruik van een gebouw.</t>
  </si>
  <si>
    <t>(Bron: WTCB)</t>
  </si>
  <si>
    <t>De meest correcte aanpak is om de warmtevraag te laten berekenen in de verplichte EPB berekeningen, door de expert, door de architect of door het studiebureau.</t>
  </si>
  <si>
    <t>De experts dienen deze berekening volgens de huidige regelgeving en normen uit te voeren, zie kadertekst.</t>
  </si>
  <si>
    <t>Meer informatie omtrent EPB-wetgeving: https://www.energiesparen.be/EPB-pedia</t>
  </si>
  <si>
    <r>
      <rPr>
        <sz val="11"/>
        <rFont val="Calibri"/>
        <family val="2"/>
        <scheme val="minor"/>
      </rPr>
      <t>* Opgelet: Alle verantwoordelijkheid omtrent de correctheid en nauwkeurigheid van deze module ligt volledig bij de gebruiker en niet</t>
    </r>
    <r>
      <rPr>
        <u/>
        <sz val="11"/>
        <color theme="10"/>
        <rFont val="Calibri"/>
        <family val="2"/>
        <scheme val="minor"/>
      </rPr>
      <t xml:space="preserve"> bij de uitgever van deze rekensheet.</t>
    </r>
  </si>
  <si>
    <t>Stap 1: Verzamelen van gegevens</t>
  </si>
  <si>
    <t>ja</t>
  </si>
  <si>
    <t>neen</t>
  </si>
  <si>
    <t>Ga naar vraag B.</t>
  </si>
  <si>
    <t>Ga naar vraag C.</t>
  </si>
  <si>
    <t>Ga naar vraag D.</t>
  </si>
  <si>
    <t>l stookolie/jaar</t>
  </si>
  <si>
    <t>m³ aardgas/jaar</t>
  </si>
  <si>
    <t>B. Het gas- of stookolieverbruik van de installatie per jaar is gekend en zal niet veranderen ?</t>
  </si>
  <si>
    <t>Vraag de warmtevraag op bij de expert die de EPB berekening uitvoert: architect, EPB-verslaggever, studiebureau.</t>
  </si>
  <si>
    <t>C. Het huidige verbruik is gedetailleerd opgemeten per maand/dag/uur/kwartier ?</t>
  </si>
  <si>
    <t>D. Invullen van het huidige totale jaarlijkse gas- of stookolieverbruik:</t>
  </si>
  <si>
    <t>E. Het project is nieuw:</t>
  </si>
  <si>
    <t>Ga naar vraag E.</t>
  </si>
  <si>
    <t>Een voorbeeld van een on-line berekening, is te vinden op: https://bouw-energie.be/nl/bereken/warmteverliesberekening</t>
  </si>
  <si>
    <t>Een eigen inschatting van de warmtevraag voor ruimteverwarming wordt gemaakt.</t>
  </si>
  <si>
    <t>Ga naar vraag E.2.</t>
  </si>
  <si>
    <t>Ga naar vraag E.6.</t>
  </si>
  <si>
    <t>NBN EN 12831-3 = dimensioneren van sanitair warm water</t>
  </si>
  <si>
    <t>NBN EN 12831-4 = uitleg over NBN EN 12831-3</t>
  </si>
  <si>
    <t xml:space="preserve">Gezien er geen veronderstellingen kunnen gemaakt worden over welk proces er dient gevoed te worden, </t>
  </si>
  <si>
    <t>MJ/jaar</t>
  </si>
  <si>
    <t>A. Het project vervangt een bestaande installatie ?</t>
  </si>
  <si>
    <t>Ga dadelijk naar vraag E.</t>
  </si>
  <si>
    <t>F. Totale warmtevraag berekenen</t>
  </si>
  <si>
    <r>
      <t xml:space="preserve">Vraag de </t>
    </r>
    <r>
      <rPr>
        <b/>
        <u/>
        <sz val="11"/>
        <color theme="1"/>
        <rFont val="Calibri"/>
        <family val="2"/>
        <scheme val="minor"/>
      </rPr>
      <t>totale jaarlijkse warmtevraag</t>
    </r>
    <r>
      <rPr>
        <sz val="11"/>
        <color theme="1"/>
        <rFont val="Calibri"/>
        <family val="2"/>
        <scheme val="minor"/>
      </rPr>
      <t xml:space="preserve"> op bij het studiebureau en/of de leverancier van het proces, inclusief gebouwenverwarming en sanitair warm water indien van toepassing.</t>
    </r>
  </si>
  <si>
    <r>
      <t xml:space="preserve">zal naast het totale warmteverbruik ook de </t>
    </r>
    <r>
      <rPr>
        <b/>
        <u/>
        <sz val="11"/>
        <color theme="1"/>
        <rFont val="Calibri"/>
        <family val="2"/>
        <scheme val="minor"/>
      </rPr>
      <t>warmtevraagcurve</t>
    </r>
    <r>
      <rPr>
        <sz val="11"/>
        <color theme="1"/>
        <rFont val="Calibri"/>
        <family val="2"/>
        <scheme val="minor"/>
      </rPr>
      <t xml:space="preserve"> bij de expert opgevraagd moeten worden.</t>
    </r>
  </si>
  <si>
    <t>Stap 2: Opstellen van warmteverbruikcurve</t>
  </si>
  <si>
    <t>Stap 3: Opstellen van warmtevraagcurve</t>
  </si>
  <si>
    <t>Januari</t>
  </si>
  <si>
    <t>Februari</t>
  </si>
  <si>
    <t>Maart</t>
  </si>
  <si>
    <t>April</t>
  </si>
  <si>
    <t>Mei</t>
  </si>
  <si>
    <t>Juni</t>
  </si>
  <si>
    <t>Juli</t>
  </si>
  <si>
    <t>Augustus</t>
  </si>
  <si>
    <t>September</t>
  </si>
  <si>
    <t>Oktober</t>
  </si>
  <si>
    <t>November</t>
  </si>
  <si>
    <t>December</t>
  </si>
  <si>
    <t>Aantal dagen</t>
  </si>
  <si>
    <t>Aantal uren</t>
  </si>
  <si>
    <t>van</t>
  </si>
  <si>
    <t>tot</t>
  </si>
  <si>
    <t>Voorbeeld: Een stookseizoen van september tot mei</t>
  </si>
  <si>
    <t>Stookseizoen</t>
  </si>
  <si>
    <t>Normaal graaddagen</t>
  </si>
  <si>
    <t>Totaal</t>
  </si>
  <si>
    <t>Verdeling van de ruimteverwarming</t>
  </si>
  <si>
    <t>Ruimteverwarming</t>
  </si>
  <si>
    <t>Sanitair warm water</t>
  </si>
  <si>
    <t>Verdeling van SWW vraag</t>
  </si>
  <si>
    <t>Maanden</t>
  </si>
  <si>
    <t>Warmtevraag per uur</t>
  </si>
  <si>
    <t>Gecumuleerde uren</t>
  </si>
  <si>
    <t>Sorteren van groot naar klein (Ctrl + Shift + s)</t>
  </si>
  <si>
    <t>Totale warmtevraag</t>
  </si>
  <si>
    <t>Warmtevraag/uur</t>
  </si>
  <si>
    <t>G.1. Geef de lengte van het stookseizoen op:</t>
  </si>
  <si>
    <t>G.2. Maak een warmteverbruikcurve op.</t>
  </si>
  <si>
    <t xml:space="preserve">U beschikt over de warmtevraag per maand/dag/uur/kwartier. </t>
  </si>
  <si>
    <t>Een vereenvoudigde curve wordt hieronder automatisch opgemaakt aan de hand van de gegevens die U hebt ingevuld.</t>
  </si>
  <si>
    <t>Ga door naar vraag H.2.</t>
  </si>
  <si>
    <t>Ga naar vraag H.1.</t>
  </si>
  <si>
    <t xml:space="preserve">H.1. Op basis van de warmteverbruikcurve wordt automatisch een vereenvoudigde warmtevraagcurve opgesteld. </t>
  </si>
  <si>
    <t>Stap 4: Bepalen van de basislast.</t>
  </si>
  <si>
    <t>Ga nadien naar vraag I.2.</t>
  </si>
  <si>
    <t>Stap 5: Bepalen van de pieklast.</t>
  </si>
  <si>
    <t>Vul een eerste inschatting van de basislast in, ga nadien naar J.2.:</t>
  </si>
  <si>
    <t>Vul in, ga nadien naar tabblad 'Installatie'.</t>
  </si>
  <si>
    <t>Vul in:</t>
  </si>
  <si>
    <t>Sanitair warm water verbruik:</t>
  </si>
  <si>
    <t>Ga naar vraag G.1.</t>
  </si>
  <si>
    <t>Hoeveel aftappunten:</t>
  </si>
  <si>
    <t>aftappunten</t>
  </si>
  <si>
    <t>OF</t>
  </si>
  <si>
    <t>Ga dadelijk door naar vraag F.1.</t>
  </si>
  <si>
    <t>totaal verbruik</t>
  </si>
  <si>
    <t>ruimteverwarming</t>
  </si>
  <si>
    <t>SWW verbruik</t>
  </si>
  <si>
    <t>kWh</t>
  </si>
  <si>
    <t>F.2. Uit het invullen van bovenstaande, volgt een verbruik, ga naar G.1.</t>
  </si>
  <si>
    <t>Vochtgehalte</t>
  </si>
  <si>
    <t>Energie inhoud</t>
  </si>
  <si>
    <t>kWh/kg</t>
  </si>
  <si>
    <t>Vochtgehalte houtsnippers</t>
  </si>
  <si>
    <t>kW/kg</t>
  </si>
  <si>
    <t>Afmetingen</t>
  </si>
  <si>
    <t>cm</t>
  </si>
  <si>
    <t>3-5 cm</t>
  </si>
  <si>
    <t>Onderste verbrandingswaarde houtsnippers</t>
  </si>
  <si>
    <t>Houtsnippers als brandstof</t>
  </si>
  <si>
    <t>Dichtheid gestockeerde houtsnippers</t>
  </si>
  <si>
    <t>kg/m³</t>
  </si>
  <si>
    <t>Volume per jaar nodig</t>
  </si>
  <si>
    <t>m³</t>
  </si>
  <si>
    <t>Nominaal vermogen</t>
  </si>
  <si>
    <t>ton/jaar</t>
  </si>
  <si>
    <t>Hoeveelheid assen af te voeren</t>
  </si>
  <si>
    <t>Verhouding piek/nominaal vermogen</t>
  </si>
  <si>
    <t>#</t>
  </si>
  <si>
    <t>Toeleveringen brandstof per jaar</t>
  </si>
  <si>
    <t>Stockage ruimte nodig</t>
  </si>
  <si>
    <t>Vermogen ketel</t>
  </si>
  <si>
    <t>Investeringskost</t>
  </si>
  <si>
    <t>€</t>
  </si>
  <si>
    <t>Verwarmen met houtsnippers: Technische installatie</t>
  </si>
  <si>
    <t>Verwarmen met houtsnippers: Warmtevraag inschatten</t>
  </si>
  <si>
    <t>Draaiuren basislast</t>
  </si>
  <si>
    <t>Verwarmen met houtsnippers: Economische analyse</t>
  </si>
  <si>
    <t>Operationele kost</t>
  </si>
  <si>
    <t>Installatiekost</t>
  </si>
  <si>
    <t>Elektrische leidingen</t>
  </si>
  <si>
    <t>Warmteleidingen (zonder warmtenet)</t>
  </si>
  <si>
    <t>Onvoorziene kosten</t>
  </si>
  <si>
    <t>Kost houtsnippers</t>
  </si>
  <si>
    <t>€/ton</t>
  </si>
  <si>
    <t>Bouwtechnische kost</t>
  </si>
  <si>
    <t>Totale investeringskost</t>
  </si>
  <si>
    <t>Bijhorende kosten: vergunning, studiebureau</t>
  </si>
  <si>
    <t>Brandstofkost per jaar</t>
  </si>
  <si>
    <t>€/jaar</t>
  </si>
  <si>
    <t>Onderhoud installatie</t>
  </si>
  <si>
    <t>Onderhoud bouwtechnische onderdelen</t>
  </si>
  <si>
    <t>Onderhoud elektrische leidingen</t>
  </si>
  <si>
    <t>Onderhoud warmteleidingen</t>
  </si>
  <si>
    <t>Verzekeringen</t>
  </si>
  <si>
    <t>Kost afvoer as</t>
  </si>
  <si>
    <t>€/kg</t>
  </si>
  <si>
    <t>Personeelskost/uur</t>
  </si>
  <si>
    <t>€/u</t>
  </si>
  <si>
    <t>Aantal uren personeel/jaar</t>
  </si>
  <si>
    <t>u</t>
  </si>
  <si>
    <t>Afvoerkost as/jaar</t>
  </si>
  <si>
    <t>Personeelskost/jaar</t>
  </si>
  <si>
    <t>1% totaalinvestering</t>
  </si>
  <si>
    <t>1,5% van E-investering</t>
  </si>
  <si>
    <t>2% van Q-investering</t>
  </si>
  <si>
    <t>2% van installatie investering</t>
  </si>
  <si>
    <t xml:space="preserve"> +20% van installatie</t>
  </si>
  <si>
    <t xml:space="preserve"> +15% van installatie</t>
  </si>
  <si>
    <t xml:space="preserve"> +10% van installatie</t>
  </si>
  <si>
    <t>Inschatting 350 €/kW geinstalleerd</t>
  </si>
  <si>
    <t>1% van bouw investering</t>
  </si>
  <si>
    <t>Hulpmiddelen (water, olie, hulpmiddelen voor rookgasreiniging,…)</t>
  </si>
  <si>
    <t>5% totaalinvestering</t>
  </si>
  <si>
    <t>Totale operationele kost</t>
  </si>
  <si>
    <t>Subsidies</t>
  </si>
  <si>
    <t>Landbouwer</t>
  </si>
  <si>
    <t>VLIF-investeringssteun indien landbouwer</t>
  </si>
  <si>
    <t>30%  subsidiëring</t>
  </si>
  <si>
    <t>Categorie onderneming</t>
  </si>
  <si>
    <t>Kleine onderneming</t>
  </si>
  <si>
    <t>Middelgrote onderneming</t>
  </si>
  <si>
    <t>Grote onderneming</t>
  </si>
  <si>
    <t>Andere onderneming</t>
  </si>
  <si>
    <t>Call groene warmte</t>
  </si>
  <si>
    <t>Recht op VLIF-investeringssteun</t>
  </si>
  <si>
    <t>Voorwaarde &gt;300 kWth vervuld ?</t>
  </si>
  <si>
    <t>Subsidiepercentage afhankelijk van categorie onderneming</t>
  </si>
  <si>
    <t>gasketel</t>
  </si>
  <si>
    <t>Referentie installatie gas</t>
  </si>
  <si>
    <t>Subsidiebedrag</t>
  </si>
  <si>
    <t>Inschatting</t>
  </si>
  <si>
    <t>Disclaimer - Opgelet:</t>
  </si>
  <si>
    <t xml:space="preserve">Deze rekentool is geen vervanging van een volwaardige berekening door een expert, ingenieur of technisch adviesbureau. </t>
  </si>
  <si>
    <t>Het is niet mogelijk om op basis van deze rekentool een installatie te bestellen.</t>
  </si>
  <si>
    <t xml:space="preserve">Een expert, ingenieur, technisch adviesbureau die bekwaam zijn om deze berekeningen in detail uit te voeren, </t>
  </si>
  <si>
    <t>dienen de berekeningen in detail te doen vooraleer overgegaan kan worden tot het bestellen van een installatie.</t>
  </si>
  <si>
    <t>De gele cellen zijn berekeningen die volgen uit voorafgaande ingevulde gegevens en mogen niet overschreven worden.</t>
  </si>
  <si>
    <t>Indien U zelf de waarde van de groene cellen niet kent, kan U de waarde uit de oranje cellen overnemen.</t>
  </si>
  <si>
    <r>
      <t xml:space="preserve">Deze rekentool werd ontwikkeld horend bij de brochure </t>
    </r>
    <r>
      <rPr>
        <b/>
        <sz val="11"/>
        <color theme="1"/>
        <rFont val="Calibri"/>
        <family val="2"/>
        <scheme val="minor"/>
      </rPr>
      <t>'Leidraad verwarmen met lokale houtsnippers</t>
    </r>
    <r>
      <rPr>
        <sz val="11"/>
        <color theme="1"/>
        <rFont val="Calibri"/>
        <family val="2"/>
        <scheme val="minor"/>
      </rPr>
      <t>’.</t>
    </r>
  </si>
  <si>
    <t>dan kan U het tabblad '(Warmtevraag)' overslagen en dadelijk naar het tabblad 'Installatie' gaan.</t>
  </si>
  <si>
    <t xml:space="preserve">H.2. Stel zelf een warmtevraagcurve op. </t>
  </si>
  <si>
    <t>Ga naar J.1.</t>
  </si>
  <si>
    <t xml:space="preserve">I.2. Bepaal zelf de basislast. </t>
  </si>
  <si>
    <t>I.1. De basislast wordt automatisch berekend bij 3500h op basis van de warmtevraagcurve.</t>
  </si>
  <si>
    <t>J.1. De pieklast wordt automatisch berekend op basis van de warmtevraagcurve.</t>
  </si>
  <si>
    <t xml:space="preserve"> Ga naar tabblad 'Installatie'.</t>
  </si>
  <si>
    <t>Zoek in de warmtevraagcurve op wat het maximum vermogen is dat nodig is.</t>
  </si>
  <si>
    <t>J.2. Bepaal zelf de pieklast</t>
  </si>
  <si>
    <t>ja -&gt;</t>
  </si>
  <si>
    <t>neen-&gt;</t>
  </si>
  <si>
    <t>Ga dadelijk naar vraag F.1..</t>
  </si>
  <si>
    <t xml:space="preserve"> Ga nadien naar vraag G.2.</t>
  </si>
  <si>
    <t>F.1. Vul in</t>
  </si>
  <si>
    <t>Maak een grafiek op met hoeveelheden kW (op de Y-as) en per uur (op de X-as de) voor een volledig jaar (8760h), een voorbeeld hiervan staat in de Leidraad.</t>
  </si>
  <si>
    <t>Dezelfde gegevens van de warmteverbruikcurve dienen gesorteerd te worden van groot naar klein (hoogste verbruik wordt eerst gezet) in een grafiek (X-as = uren, Y-as = verbruik)</t>
  </si>
  <si>
    <t xml:space="preserve">Zoek in de warmtevraagcurve op wat het vermogen is, dat minimum 3500h per jaar moet geleverd worden. Doe dit door op de X-as 3500h te zoeken en het overeenkomende vermogen af te lezen op de Y-as. </t>
  </si>
  <si>
    <t>E.1. De berekening van de nieuwe warmtevraag en warmtevraagcurve is gekend ?</t>
  </si>
  <si>
    <t>E.2. Het project heeft warmte nodig voor ruimteverwarming ?</t>
  </si>
  <si>
    <t>Ga naar vraag E.3.</t>
  </si>
  <si>
    <t>kWh/jaar vul in en ga naar vraag E.4.</t>
  </si>
  <si>
    <t>MJ/jaar vul in en ga naar vraag E.4.</t>
  </si>
  <si>
    <t>E.3. Berekening van de warmtevraag voor ruimteverwarming:</t>
  </si>
  <si>
    <t>E.4. Het project heeft warmte nodig voor sanitair warm water ?</t>
  </si>
  <si>
    <t>Ga naar vraag E.5.</t>
  </si>
  <si>
    <t>E.5. Berekening van de warmtevraag voor sanitair warm water:</t>
  </si>
  <si>
    <t>kWh/jaar vul in en ga naar vraag E.6.</t>
  </si>
  <si>
    <t>MJ/jaar vul in en ga naar vraag E.6.</t>
  </si>
  <si>
    <t>Ga naar vraag E.7.</t>
  </si>
  <si>
    <r>
      <t>Ga naar F.1</t>
    </r>
    <r>
      <rPr>
        <b/>
        <sz val="11"/>
        <color theme="1"/>
        <rFont val="Calibri"/>
        <family val="2"/>
        <scheme val="minor"/>
      </rPr>
      <t>.</t>
    </r>
  </si>
  <si>
    <t>E.6. Het project heeft warmte nodig voor een proces ?</t>
  </si>
  <si>
    <t>E.7. Berekening van de warmtevraag voor proceswarmte:</t>
  </si>
  <si>
    <t>Ga dadelijk door naar vraag E.4.</t>
  </si>
  <si>
    <t>Ga naar vraag F.2</t>
  </si>
  <si>
    <t>Proceswarmte</t>
  </si>
  <si>
    <t>Waarde</t>
  </si>
  <si>
    <t>Rangorde</t>
  </si>
  <si>
    <t>Aantal</t>
  </si>
  <si>
    <t>Teller</t>
  </si>
  <si>
    <t>Maand</t>
  </si>
  <si>
    <t>Ga naar vraag I.1.</t>
  </si>
  <si>
    <t>FOUT</t>
  </si>
  <si>
    <t xml:space="preserve">In de bruine cellen staan suggesties van waardes die ofwel uit de literatuur komen, ofwel werden berekend uit voorafgaande ingevulde waardes. </t>
  </si>
  <si>
    <t>Een eigen inschatting van de warmtevraag voor sanitair warm water wordt gemaakt.</t>
  </si>
  <si>
    <t>Disclaimer - Opgelet: De kosten en subsidiebedragen zijn een inschatting. Deze moeten afgetoetst en verfijnd worden met recente offertes.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</si>
</sst>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2"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sz val="9"/>
      <color indexed="81"/>
      <name val="Tahoma"/>
      <family val="2"/>
    </font>
    <font>
      <sz val="11"/>
      <color theme="2"/>
      <name val="Calibri"/>
      <family val="2"/>
      <scheme val="minor"/>
    </font>
    <font>
      <sz val="8"/>
      <name val="Calibri"/>
      <family val="2"/>
      <scheme val="minor"/>
    </font>
    <font>
      <sz val="11"/>
      <color theme="1"/>
      <name val="Calibri"/>
      <family val="2"/>
      <scheme val="minor"/>
    </font>
    <font>
      <sz val="11"/>
      <color rgb="FFFF0000"/>
      <name val="Calibri"/>
      <family val="2"/>
      <scheme val="minor"/>
    </font>
    <font>
      <b/>
      <i/>
      <sz val="11"/>
      <color theme="1"/>
      <name val="Calibri"/>
      <family val="2"/>
      <scheme val="minor"/>
    </font>
    <font>
      <u/>
      <sz val="11"/>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249977111117893"/>
        <bgColor indexed="64"/>
      </patternFill>
    </fill>
    <fill>
      <patternFill patternType="solid">
        <fgColor theme="5"/>
        <bgColor indexed="64"/>
      </patternFill>
    </fill>
    <fill>
      <patternFill patternType="solid">
        <fgColor theme="0" tint="-0.14999847407452621"/>
        <bgColor indexed="64"/>
      </patternFill>
    </fill>
    <fill>
      <patternFill patternType="solid">
        <fgColor theme="9"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9" fontId="8" fillId="0" borderId="0" applyFont="0" applyFill="0" applyBorder="0" applyAlignment="0" applyProtection="0"/>
  </cellStyleXfs>
  <cellXfs count="136">
    <xf numFmtId="0" fontId="0" fillId="0" borderId="0" xfId="0"/>
    <xf numFmtId="0" fontId="0" fillId="7" borderId="2" xfId="0" applyFill="1" applyBorder="1"/>
    <xf numFmtId="0" fontId="0" fillId="2" borderId="2" xfId="0" applyFill="1" applyBorder="1"/>
    <xf numFmtId="1" fontId="0" fillId="0" borderId="0" xfId="0" applyNumberFormat="1"/>
    <xf numFmtId="2" fontId="0" fillId="0" borderId="0" xfId="0" applyNumberFormat="1"/>
    <xf numFmtId="0" fontId="0" fillId="0" borderId="1" xfId="0" applyBorder="1"/>
    <xf numFmtId="0" fontId="0" fillId="0" borderId="1" xfId="0" applyBorder="1" applyAlignment="1">
      <alignment horizontal="center"/>
    </xf>
    <xf numFmtId="0" fontId="9" fillId="0" borderId="0" xfId="0" applyFont="1" applyFill="1"/>
    <xf numFmtId="0" fontId="0" fillId="11" borderId="0" xfId="0" applyFill="1" applyProtection="1">
      <protection hidden="1"/>
    </xf>
    <xf numFmtId="1" fontId="0" fillId="11" borderId="0" xfId="0" applyNumberFormat="1" applyFill="1" applyProtection="1">
      <protection hidden="1"/>
    </xf>
    <xf numFmtId="0" fontId="0" fillId="0" borderId="0" xfId="0" applyFill="1" applyProtection="1">
      <protection hidden="1"/>
    </xf>
    <xf numFmtId="0" fontId="0" fillId="0" borderId="0" xfId="0" applyProtection="1">
      <protection hidden="1"/>
    </xf>
    <xf numFmtId="2" fontId="0" fillId="0" borderId="0" xfId="0" applyNumberFormat="1" applyFill="1" applyProtection="1">
      <protection hidden="1"/>
    </xf>
    <xf numFmtId="1" fontId="0" fillId="0" borderId="0" xfId="0" applyNumberFormat="1" applyFill="1" applyProtection="1">
      <protection hidden="1"/>
    </xf>
    <xf numFmtId="0" fontId="1" fillId="0" borderId="0" xfId="0" applyFont="1" applyProtection="1">
      <protection hidden="1"/>
    </xf>
    <xf numFmtId="0" fontId="1" fillId="6" borderId="0" xfId="0" applyFont="1" applyFill="1" applyProtection="1">
      <protection hidden="1"/>
    </xf>
    <xf numFmtId="0" fontId="0" fillId="6" borderId="0" xfId="0" applyFill="1" applyProtection="1">
      <protection hidden="1"/>
    </xf>
    <xf numFmtId="0" fontId="1" fillId="0" borderId="0" xfId="0" applyFont="1" applyFill="1" applyProtection="1">
      <protection hidden="1"/>
    </xf>
    <xf numFmtId="0" fontId="0" fillId="0" borderId="0" xfId="0" applyAlignment="1" applyProtection="1">
      <alignment horizontal="right"/>
      <protection hidden="1"/>
    </xf>
    <xf numFmtId="0" fontId="0" fillId="7" borderId="1" xfId="0" applyFill="1" applyBorder="1" applyProtection="1">
      <protection hidden="1"/>
    </xf>
    <xf numFmtId="1" fontId="0" fillId="7" borderId="1" xfId="0" applyNumberFormat="1" applyFill="1" applyBorder="1" applyProtection="1">
      <protection hidden="1"/>
    </xf>
    <xf numFmtId="0" fontId="0" fillId="0" borderId="0" xfId="0" applyFill="1" applyBorder="1" applyAlignment="1" applyProtection="1">
      <alignment horizontal="right"/>
      <protection hidden="1"/>
    </xf>
    <xf numFmtId="1" fontId="0" fillId="0" borderId="0" xfId="0" applyNumberFormat="1" applyFill="1" applyBorder="1" applyProtection="1">
      <protection hidden="1"/>
    </xf>
    <xf numFmtId="2" fontId="0" fillId="0" borderId="0" xfId="0" applyNumberFormat="1" applyProtection="1">
      <protection hidden="1"/>
    </xf>
    <xf numFmtId="0" fontId="0" fillId="0" borderId="0" xfId="0" applyFill="1" applyBorder="1" applyProtection="1">
      <protection hidden="1"/>
    </xf>
    <xf numFmtId="0" fontId="0" fillId="3" borderId="0" xfId="0" applyFill="1" applyProtection="1">
      <protection hidden="1"/>
    </xf>
    <xf numFmtId="0" fontId="1" fillId="0" borderId="2" xfId="0" applyFont="1" applyBorder="1" applyProtection="1">
      <protection hidden="1"/>
    </xf>
    <xf numFmtId="0" fontId="0" fillId="8" borderId="3" xfId="0" applyFill="1" applyBorder="1" applyProtection="1">
      <protection hidden="1"/>
    </xf>
    <xf numFmtId="0" fontId="0" fillId="8" borderId="4" xfId="0" applyFill="1" applyBorder="1" applyProtection="1">
      <protection hidden="1"/>
    </xf>
    <xf numFmtId="0" fontId="0" fillId="8" borderId="5" xfId="0" applyFill="1" applyBorder="1" applyProtection="1">
      <protection hidden="1"/>
    </xf>
    <xf numFmtId="0" fontId="0" fillId="8" borderId="6" xfId="0" applyFill="1" applyBorder="1" applyProtection="1">
      <protection hidden="1"/>
    </xf>
    <xf numFmtId="0" fontId="0" fillId="8" borderId="0" xfId="0" applyFill="1" applyBorder="1" applyProtection="1">
      <protection hidden="1"/>
    </xf>
    <xf numFmtId="0" fontId="0" fillId="8" borderId="7" xfId="0" applyFill="1" applyBorder="1" applyProtection="1">
      <protection hidden="1"/>
    </xf>
    <xf numFmtId="0" fontId="0" fillId="8" borderId="8" xfId="0" applyFill="1" applyBorder="1" applyProtection="1">
      <protection hidden="1"/>
    </xf>
    <xf numFmtId="0" fontId="0" fillId="8" borderId="9" xfId="0" applyFill="1" applyBorder="1" applyProtection="1">
      <protection hidden="1"/>
    </xf>
    <xf numFmtId="0" fontId="0" fillId="8" borderId="10" xfId="0" applyFill="1" applyBorder="1" applyProtection="1">
      <protection hidden="1"/>
    </xf>
    <xf numFmtId="0" fontId="4" fillId="0" borderId="0" xfId="1" applyFont="1" applyProtection="1">
      <protection hidden="1"/>
    </xf>
    <xf numFmtId="0" fontId="3" fillId="0" borderId="0" xfId="1" applyProtection="1">
      <protection hidden="1"/>
    </xf>
    <xf numFmtId="0" fontId="0" fillId="7" borderId="0" xfId="0" applyFill="1" applyBorder="1" applyProtection="1">
      <protection hidden="1"/>
    </xf>
    <xf numFmtId="1" fontId="0" fillId="7" borderId="11" xfId="0" applyNumberFormat="1" applyFill="1" applyBorder="1" applyProtection="1">
      <protection hidden="1"/>
    </xf>
    <xf numFmtId="1" fontId="0" fillId="7" borderId="12" xfId="0" applyNumberFormat="1" applyFill="1" applyBorder="1" applyProtection="1">
      <protection hidden="1"/>
    </xf>
    <xf numFmtId="0" fontId="0" fillId="0" borderId="0" xfId="0" applyFont="1" applyProtection="1">
      <protection hidden="1"/>
    </xf>
    <xf numFmtId="0" fontId="1" fillId="8" borderId="0" xfId="0" applyFont="1" applyFill="1" applyProtection="1">
      <protection hidden="1"/>
    </xf>
    <xf numFmtId="0" fontId="6" fillId="8" borderId="0" xfId="0" applyFont="1" applyFill="1" applyProtection="1">
      <protection hidden="1"/>
    </xf>
    <xf numFmtId="0" fontId="0" fillId="8" borderId="0" xfId="0" applyFill="1" applyProtection="1">
      <protection hidden="1"/>
    </xf>
    <xf numFmtId="0" fontId="6" fillId="0" borderId="0" xfId="0" applyFont="1" applyProtection="1">
      <protection hidden="1"/>
    </xf>
    <xf numFmtId="1" fontId="0" fillId="0" borderId="0" xfId="0" applyNumberFormat="1" applyProtection="1">
      <protection hidden="1"/>
    </xf>
    <xf numFmtId="2" fontId="4" fillId="7" borderId="2" xfId="0" applyNumberFormat="1" applyFont="1" applyFill="1" applyBorder="1" applyProtection="1">
      <protection hidden="1"/>
    </xf>
    <xf numFmtId="0" fontId="0" fillId="7" borderId="0" xfId="0" applyFill="1" applyProtection="1">
      <protection hidden="1"/>
    </xf>
    <xf numFmtId="2" fontId="0" fillId="7" borderId="2" xfId="0" applyNumberFormat="1" applyFill="1" applyBorder="1" applyProtection="1">
      <protection hidden="1"/>
    </xf>
    <xf numFmtId="0" fontId="0" fillId="9" borderId="0" xfId="0" applyFill="1" applyProtection="1">
      <protection hidden="1"/>
    </xf>
    <xf numFmtId="0" fontId="0" fillId="3" borderId="0" xfId="0" applyFill="1" applyAlignment="1" applyProtection="1">
      <alignment horizontal="center"/>
      <protection hidden="1"/>
    </xf>
    <xf numFmtId="1" fontId="0" fillId="4" borderId="0" xfId="0" applyNumberFormat="1" applyFill="1" applyProtection="1">
      <protection hidden="1"/>
    </xf>
    <xf numFmtId="2" fontId="0" fillId="4" borderId="0" xfId="0" applyNumberFormat="1" applyFill="1" applyProtection="1">
      <protection hidden="1"/>
    </xf>
    <xf numFmtId="0" fontId="0" fillId="4" borderId="0" xfId="0" applyFill="1" applyProtection="1">
      <protection hidden="1"/>
    </xf>
    <xf numFmtId="0" fontId="0" fillId="5" borderId="0" xfId="0" applyFill="1" applyProtection="1">
      <protection hidden="1"/>
    </xf>
    <xf numFmtId="0" fontId="0" fillId="5" borderId="0" xfId="0" applyFill="1" applyAlignment="1" applyProtection="1">
      <alignment horizontal="center"/>
      <protection hidden="1"/>
    </xf>
    <xf numFmtId="0" fontId="2" fillId="5" borderId="0" xfId="0" applyFont="1" applyFill="1" applyProtection="1">
      <protection hidden="1"/>
    </xf>
    <xf numFmtId="0" fontId="0" fillId="6" borderId="0" xfId="0" applyFill="1" applyAlignment="1" applyProtection="1">
      <alignment horizontal="center"/>
      <protection hidden="1"/>
    </xf>
    <xf numFmtId="0" fontId="0" fillId="4" borderId="0" xfId="0" applyFill="1" applyAlignment="1" applyProtection="1">
      <alignment horizontal="right"/>
      <protection hidden="1"/>
    </xf>
    <xf numFmtId="2" fontId="0" fillId="7" borderId="0" xfId="0" applyNumberFormat="1" applyFill="1" applyProtection="1">
      <protection hidden="1"/>
    </xf>
    <xf numFmtId="1" fontId="0" fillId="7" borderId="0" xfId="0" applyNumberFormat="1" applyFill="1" applyProtection="1">
      <protection hidden="1"/>
    </xf>
    <xf numFmtId="9" fontId="0" fillId="4" borderId="0" xfId="2" applyFont="1" applyFill="1" applyProtection="1">
      <protection hidden="1"/>
    </xf>
    <xf numFmtId="1" fontId="0" fillId="4" borderId="0" xfId="0" applyNumberFormat="1" applyFill="1" applyAlignment="1" applyProtection="1">
      <alignment horizontal="right"/>
      <protection hidden="1"/>
    </xf>
    <xf numFmtId="0" fontId="2" fillId="10" borderId="14" xfId="0" applyFont="1" applyFill="1" applyBorder="1" applyProtection="1">
      <protection hidden="1"/>
    </xf>
    <xf numFmtId="0" fontId="11" fillId="10" borderId="24" xfId="0" applyFont="1" applyFill="1" applyBorder="1" applyProtection="1">
      <protection hidden="1"/>
    </xf>
    <xf numFmtId="0" fontId="0" fillId="10" borderId="24" xfId="0" applyFill="1" applyBorder="1" applyProtection="1">
      <protection hidden="1"/>
    </xf>
    <xf numFmtId="0" fontId="0" fillId="10" borderId="13" xfId="0" applyFill="1" applyBorder="1" applyProtection="1">
      <protection hidden="1"/>
    </xf>
    <xf numFmtId="0" fontId="2" fillId="0" borderId="0" xfId="0" applyFont="1" applyFill="1" applyBorder="1" applyProtection="1">
      <protection hidden="1"/>
    </xf>
    <xf numFmtId="0" fontId="11" fillId="0" borderId="0" xfId="0" applyFont="1" applyFill="1" applyBorder="1" applyProtection="1">
      <protection hidden="1"/>
    </xf>
    <xf numFmtId="0" fontId="0" fillId="3" borderId="0" xfId="0" applyFill="1" applyAlignment="1" applyProtection="1">
      <alignment horizontal="right"/>
      <protection hidden="1"/>
    </xf>
    <xf numFmtId="9" fontId="0" fillId="3" borderId="0" xfId="0" applyNumberFormat="1" applyFill="1" applyAlignment="1" applyProtection="1">
      <alignment horizontal="right"/>
      <protection hidden="1"/>
    </xf>
    <xf numFmtId="0" fontId="10" fillId="3" borderId="0" xfId="0" applyFont="1" applyFill="1" applyProtection="1">
      <protection hidden="1"/>
    </xf>
    <xf numFmtId="0" fontId="10" fillId="3" borderId="0" xfId="0" applyFont="1" applyFill="1" applyAlignment="1" applyProtection="1">
      <alignment horizontal="center"/>
      <protection hidden="1"/>
    </xf>
    <xf numFmtId="9" fontId="10" fillId="3" borderId="0" xfId="0" applyNumberFormat="1" applyFont="1" applyFill="1" applyAlignment="1" applyProtection="1">
      <alignment horizontal="right"/>
      <protection hidden="1"/>
    </xf>
    <xf numFmtId="1" fontId="10" fillId="4" borderId="0" xfId="0" applyNumberFormat="1" applyFont="1" applyFill="1" applyProtection="1">
      <protection hidden="1"/>
    </xf>
    <xf numFmtId="1" fontId="10" fillId="7" borderId="0" xfId="0" applyNumberFormat="1" applyFont="1" applyFill="1" applyProtection="1">
      <protection hidden="1"/>
    </xf>
    <xf numFmtId="1" fontId="0" fillId="7" borderId="0" xfId="0" applyNumberFormat="1" applyFill="1" applyAlignment="1" applyProtection="1">
      <alignment horizontal="right"/>
      <protection hidden="1"/>
    </xf>
    <xf numFmtId="0" fontId="0" fillId="7" borderId="0" xfId="0" applyFill="1" applyAlignment="1" applyProtection="1">
      <alignment horizontal="right"/>
      <protection hidden="1"/>
    </xf>
    <xf numFmtId="164" fontId="0" fillId="7" borderId="0" xfId="0" applyNumberFormat="1" applyFill="1" applyProtection="1">
      <protection hidden="1"/>
    </xf>
    <xf numFmtId="9" fontId="0" fillId="4" borderId="0" xfId="2" applyFont="1" applyFill="1" applyAlignment="1" applyProtection="1">
      <alignment horizontal="right"/>
      <protection hidden="1"/>
    </xf>
    <xf numFmtId="9" fontId="0" fillId="7" borderId="0" xfId="0" applyNumberFormat="1" applyFill="1" applyAlignment="1" applyProtection="1">
      <alignment horizontal="right"/>
      <protection hidden="1"/>
    </xf>
    <xf numFmtId="9" fontId="0" fillId="7" borderId="0" xfId="2" applyFont="1" applyFill="1" applyProtection="1">
      <protection hidden="1"/>
    </xf>
    <xf numFmtId="164" fontId="0" fillId="7" borderId="0" xfId="2" applyNumberFormat="1" applyFont="1" applyFill="1" applyProtection="1">
      <protection hidden="1"/>
    </xf>
    <xf numFmtId="0" fontId="2" fillId="9" borderId="16" xfId="0" applyFont="1" applyFill="1" applyBorder="1"/>
    <xf numFmtId="0" fontId="11" fillId="9" borderId="17" xfId="0" applyFont="1" applyFill="1" applyBorder="1"/>
    <xf numFmtId="0" fontId="0" fillId="9" borderId="17" xfId="0" applyFill="1" applyBorder="1"/>
    <xf numFmtId="0" fontId="0" fillId="9" borderId="19" xfId="0" applyFill="1" applyBorder="1"/>
    <xf numFmtId="0" fontId="0" fillId="9" borderId="0" xfId="0" applyFill="1" applyBorder="1"/>
    <xf numFmtId="0" fontId="0" fillId="9" borderId="21" xfId="0" applyFill="1" applyBorder="1"/>
    <xf numFmtId="0" fontId="0" fillId="9" borderId="22" xfId="0" applyFill="1" applyBorder="1"/>
    <xf numFmtId="0" fontId="9" fillId="9" borderId="0" xfId="0" applyFont="1" applyFill="1" applyBorder="1"/>
    <xf numFmtId="0" fontId="9" fillId="9" borderId="17" xfId="0" applyFont="1" applyFill="1" applyBorder="1"/>
    <xf numFmtId="0" fontId="9" fillId="9" borderId="18" xfId="0" applyFont="1" applyFill="1" applyBorder="1"/>
    <xf numFmtId="0" fontId="9" fillId="9" borderId="20" xfId="0" applyFont="1" applyFill="1" applyBorder="1"/>
    <xf numFmtId="0" fontId="9" fillId="9" borderId="22" xfId="0" applyFont="1" applyFill="1" applyBorder="1"/>
    <xf numFmtId="0" fontId="9" fillId="9" borderId="23" xfId="0" applyFont="1" applyFill="1" applyBorder="1"/>
    <xf numFmtId="0" fontId="1" fillId="9" borderId="14" xfId="0" applyFont="1" applyFill="1" applyBorder="1"/>
    <xf numFmtId="0" fontId="0" fillId="9" borderId="24" xfId="0" applyFill="1" applyBorder="1"/>
    <xf numFmtId="0" fontId="0" fillId="9" borderId="13" xfId="0" applyFill="1" applyBorder="1"/>
    <xf numFmtId="0" fontId="0" fillId="0" borderId="19" xfId="0" applyBorder="1"/>
    <xf numFmtId="0" fontId="0" fillId="0" borderId="0" xfId="0" applyBorder="1"/>
    <xf numFmtId="0" fontId="0" fillId="0" borderId="20" xfId="0" applyBorder="1"/>
    <xf numFmtId="0" fontId="2" fillId="0" borderId="19" xfId="0" applyFont="1" applyBorder="1"/>
    <xf numFmtId="0" fontId="0" fillId="0" borderId="19" xfId="0" applyFill="1" applyBorder="1"/>
    <xf numFmtId="0" fontId="0" fillId="6" borderId="2" xfId="0" applyFill="1" applyBorder="1"/>
    <xf numFmtId="0" fontId="1" fillId="9" borderId="0" xfId="0" applyFont="1" applyFill="1" applyProtection="1">
      <protection hidden="1"/>
    </xf>
    <xf numFmtId="0" fontId="1" fillId="3" borderId="0" xfId="0" applyFont="1" applyFill="1" applyProtection="1">
      <protection hidden="1"/>
    </xf>
    <xf numFmtId="0" fontId="0" fillId="12" borderId="0" xfId="0" applyFill="1" applyBorder="1" applyProtection="1">
      <protection hidden="1"/>
    </xf>
    <xf numFmtId="0" fontId="0" fillId="12" borderId="0" xfId="0" applyFill="1" applyProtection="1">
      <protection hidden="1"/>
    </xf>
    <xf numFmtId="0" fontId="0" fillId="12" borderId="3" xfId="0" applyFill="1" applyBorder="1" applyProtection="1">
      <protection hidden="1"/>
    </xf>
    <xf numFmtId="0" fontId="0" fillId="12" borderId="4" xfId="0" applyFill="1" applyBorder="1" applyProtection="1">
      <protection hidden="1"/>
    </xf>
    <xf numFmtId="0" fontId="0" fillId="12" borderId="5" xfId="0" applyFill="1" applyBorder="1" applyProtection="1">
      <protection hidden="1"/>
    </xf>
    <xf numFmtId="0" fontId="0" fillId="12" borderId="6" xfId="0" applyFill="1" applyBorder="1" applyProtection="1">
      <protection hidden="1"/>
    </xf>
    <xf numFmtId="0" fontId="0" fillId="12" borderId="7" xfId="0" applyFill="1" applyBorder="1" applyProtection="1">
      <protection hidden="1"/>
    </xf>
    <xf numFmtId="0" fontId="0" fillId="12" borderId="8" xfId="0" applyFill="1" applyBorder="1" applyProtection="1">
      <protection hidden="1"/>
    </xf>
    <xf numFmtId="0" fontId="0" fillId="12" borderId="9" xfId="0" applyFill="1" applyBorder="1" applyProtection="1">
      <protection hidden="1"/>
    </xf>
    <xf numFmtId="0" fontId="0" fillId="12" borderId="10" xfId="0" applyFill="1" applyBorder="1" applyProtection="1">
      <protection hidden="1"/>
    </xf>
    <xf numFmtId="0" fontId="0" fillId="3" borderId="0" xfId="0" applyFill="1" applyBorder="1" applyProtection="1">
      <protection hidden="1"/>
    </xf>
    <xf numFmtId="2" fontId="0" fillId="3" borderId="0" xfId="0" applyNumberFormat="1" applyFill="1" applyBorder="1" applyProtection="1">
      <protection hidden="1"/>
    </xf>
    <xf numFmtId="2" fontId="0" fillId="12" borderId="0" xfId="0" applyNumberFormat="1" applyFill="1" applyBorder="1" applyProtection="1">
      <protection hidden="1"/>
    </xf>
    <xf numFmtId="0" fontId="1" fillId="9" borderId="24" xfId="0" applyFont="1" applyFill="1" applyBorder="1"/>
    <xf numFmtId="0" fontId="1" fillId="9" borderId="13" xfId="0" applyFont="1" applyFill="1" applyBorder="1"/>
    <xf numFmtId="0" fontId="0" fillId="12" borderId="2" xfId="0" applyFill="1" applyBorder="1" applyProtection="1">
      <protection locked="0" hidden="1"/>
    </xf>
    <xf numFmtId="0" fontId="0" fillId="12" borderId="2" xfId="0" applyFill="1" applyBorder="1" applyAlignment="1" applyProtection="1">
      <alignment horizontal="center"/>
      <protection locked="0" hidden="1"/>
    </xf>
    <xf numFmtId="0" fontId="0" fillId="12" borderId="15" xfId="0" applyFill="1" applyBorder="1" applyProtection="1">
      <protection locked="0" hidden="1"/>
    </xf>
    <xf numFmtId="0" fontId="0" fillId="12" borderId="15" xfId="0" applyFill="1" applyBorder="1" applyAlignment="1" applyProtection="1">
      <alignment horizontal="center"/>
      <protection locked="0" hidden="1"/>
    </xf>
    <xf numFmtId="0" fontId="0" fillId="12" borderId="12" xfId="0" applyFill="1" applyBorder="1" applyProtection="1">
      <protection locked="0" hidden="1"/>
    </xf>
    <xf numFmtId="0" fontId="0" fillId="12" borderId="11" xfId="0" applyFill="1" applyBorder="1" applyProtection="1">
      <protection locked="0" hidden="1"/>
    </xf>
    <xf numFmtId="0" fontId="0" fillId="12" borderId="14" xfId="0" applyFill="1" applyBorder="1" applyAlignment="1" applyProtection="1">
      <alignment horizontal="left"/>
      <protection locked="0" hidden="1"/>
    </xf>
    <xf numFmtId="0" fontId="0" fillId="12" borderId="13" xfId="0" applyFill="1" applyBorder="1" applyAlignment="1" applyProtection="1">
      <alignment horizontal="left"/>
      <protection locked="0" hidden="1"/>
    </xf>
    <xf numFmtId="1" fontId="0" fillId="2" borderId="0" xfId="0" applyNumberFormat="1" applyFill="1" applyProtection="1">
      <protection locked="0" hidden="1"/>
    </xf>
    <xf numFmtId="2" fontId="0" fillId="2" borderId="0" xfId="0" applyNumberFormat="1" applyFill="1" applyProtection="1">
      <protection locked="0" hidden="1"/>
    </xf>
    <xf numFmtId="0" fontId="0" fillId="2" borderId="0" xfId="0" applyFill="1" applyProtection="1">
      <protection locked="0" hidden="1"/>
    </xf>
    <xf numFmtId="0" fontId="0" fillId="2" borderId="0" xfId="0" applyFill="1" applyAlignment="1" applyProtection="1">
      <alignment horizontal="right"/>
      <protection locked="0" hidden="1"/>
    </xf>
    <xf numFmtId="9" fontId="0" fillId="2" borderId="0" xfId="0" applyNumberFormat="1" applyFill="1" applyProtection="1">
      <protection locked="0" hidden="1"/>
    </xf>
  </cellXfs>
  <cellStyles count="3">
    <cellStyle name="Hyperlink" xfId="1" builtinId="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Vereenvoudigde warmteverbruikcurve</a:t>
            </a:r>
          </a:p>
          <a:p>
            <a:pPr>
              <a:defRPr/>
            </a:pPr>
            <a:r>
              <a:rPr lang="en-US"/>
              <a:t>kWh/maand</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barChart>
        <c:barDir val="col"/>
        <c:grouping val="clustered"/>
        <c:varyColors val="0"/>
        <c:ser>
          <c:idx val="9"/>
          <c:order val="9"/>
          <c:tx>
            <c:strRef>
              <c:f>'(Warmtevraag)'!$L$89</c:f>
              <c:strCache>
                <c:ptCount val="1"/>
                <c:pt idx="0">
                  <c:v>Totale warmtevraag</c:v>
                </c:pt>
              </c:strCache>
            </c:strRef>
          </c:tx>
          <c:spPr>
            <a:solidFill>
              <a:schemeClr val="accent2">
                <a:lumMod val="8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'(Warmtevraag)'!$L$90:$L$101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C9E-4965-87F0-E736D2D5A992}"/>
            </c:ext>
          </c:extLst>
        </c:ser>
        <c:dLbls>
          <c:dLblPos val="inEnd"/>
          <c:showLegendKey val="0"/>
          <c:showVal val="1"/>
          <c:showCatName val="0"/>
          <c:showSerName val="0"/>
          <c:showPercent val="0"/>
          <c:showBubbleSize val="0"/>
        </c:dLbls>
        <c:gapWidth val="65"/>
        <c:axId val="571900936"/>
        <c:axId val="571895032"/>
        <c:extLst>
          <c:ext xmlns:c15="http://schemas.microsoft.com/office/drawing/2012/chart" uri="{02D57815-91ED-43cb-92C2-25804820EDAC}">
            <c15:filteredBarSeries>
              <c15:ser>
                <c:idx val="0"/>
                <c:order val="0"/>
                <c:tx>
                  <c:strRef>
                    <c:extLst>
                      <c:ext uri="{02D57815-91ED-43cb-92C2-25804820EDAC}">
                        <c15:formulaRef>
                          <c15:sqref>'(Warmtevraag)'!$C$89</c15:sqref>
                        </c15:formulaRef>
                      </c:ext>
                    </c:extLst>
                    <c:strCache>
                      <c:ptCount val="1"/>
                      <c:pt idx="0">
                        <c:v>Aantal dagen</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c:ext uri="{02D57815-91ED-43cb-92C2-25804820EDAC}">
                        <c15:formulaRef>
                          <c15:sqref>'(Warmtevraag)'!$C$90:$C$102</c15:sqref>
                        </c15:formulaRef>
                      </c:ext>
                    </c:extLst>
                    <c:numCache>
                      <c:formatCode>General</c:formatCode>
                      <c:ptCount val="13"/>
                      <c:pt idx="0">
                        <c:v>31</c:v>
                      </c:pt>
                      <c:pt idx="1">
                        <c:v>28</c:v>
                      </c:pt>
                      <c:pt idx="2">
                        <c:v>31</c:v>
                      </c:pt>
                      <c:pt idx="3">
                        <c:v>30</c:v>
                      </c:pt>
                      <c:pt idx="4">
                        <c:v>31</c:v>
                      </c:pt>
                      <c:pt idx="5">
                        <c:v>30</c:v>
                      </c:pt>
                      <c:pt idx="6">
                        <c:v>31</c:v>
                      </c:pt>
                      <c:pt idx="7">
                        <c:v>31</c:v>
                      </c:pt>
                      <c:pt idx="8">
                        <c:v>30</c:v>
                      </c:pt>
                      <c:pt idx="9">
                        <c:v>31</c:v>
                      </c:pt>
                      <c:pt idx="10">
                        <c:v>30</c:v>
                      </c:pt>
                      <c:pt idx="11">
                        <c:v>31</c:v>
                      </c:pt>
                      <c:pt idx="12">
                        <c:v>365</c:v>
                      </c:pt>
                    </c:numCache>
                  </c:numRef>
                </c:val>
                <c:extLst>
                  <c:ext xmlns:c16="http://schemas.microsoft.com/office/drawing/2014/chart" uri="{C3380CC4-5D6E-409C-BE32-E72D297353CC}">
                    <c16:uniqueId val="{00000000-3615-4152-98F0-F56D8C35595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'(Warmtevraag)'!$D$89</c15:sqref>
                        </c15:formulaRef>
                      </c:ext>
                    </c:extLst>
                    <c:strCache>
                      <c:ptCount val="1"/>
                      <c:pt idx="0">
                        <c:v>Aantal uren</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'(Warmtevraag)'!$D$90:$D$102</c15:sqref>
                        </c15:formulaRef>
                      </c:ext>
                    </c:extLst>
                    <c:numCache>
                      <c:formatCode>General</c:formatCode>
                      <c:ptCount val="13"/>
                      <c:pt idx="0">
                        <c:v>744</c:v>
                      </c:pt>
                      <c:pt idx="1">
                        <c:v>672</c:v>
                      </c:pt>
                      <c:pt idx="2">
                        <c:v>744</c:v>
                      </c:pt>
                      <c:pt idx="3">
                        <c:v>720</c:v>
                      </c:pt>
                      <c:pt idx="4">
                        <c:v>744</c:v>
                      </c:pt>
                      <c:pt idx="5">
                        <c:v>720</c:v>
                      </c:pt>
                      <c:pt idx="6">
                        <c:v>744</c:v>
                      </c:pt>
                      <c:pt idx="7">
                        <c:v>744</c:v>
                      </c:pt>
                      <c:pt idx="8">
                        <c:v>720</c:v>
                      </c:pt>
                      <c:pt idx="9">
                        <c:v>744</c:v>
                      </c:pt>
                      <c:pt idx="10">
                        <c:v>720</c:v>
                      </c:pt>
                      <c:pt idx="11">
                        <c:v>744</c:v>
                      </c:pt>
                      <c:pt idx="12">
                        <c:v>8760</c:v>
                      </c:pt>
                    </c:numCache>
                  </c:numRef>
                </c:val>
                <c:extLst xmlns:c15="http://schemas.microsoft.com/office/drawing/2012/chart">
                  <c:ext xmlns:c16="http://schemas.microsoft.com/office/drawing/2014/chart" uri="{C3380CC4-5D6E-409C-BE32-E72D297353CC}">
                    <c16:uniqueId val="{00000001-3615-4152-98F0-F56D8C35595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'(Warmtevraag)'!$E$89</c15:sqref>
                        </c15:formulaRef>
                      </c:ext>
                    </c:extLst>
                    <c:strCache>
                      <c:ptCount val="1"/>
                      <c:pt idx="0">
                        <c:v>Stookseizoen</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'(Warmtevraag)'!$E$90:$E$102</c15:sqref>
                        </c15:formulaRef>
                      </c:ext>
                    </c:extLst>
                    <c:numCache>
                      <c:formatCode>General</c:formatCode>
                      <c:ptCount val="13"/>
                      <c:pt idx="0">
                        <c:v>1</c:v>
                      </c:pt>
                      <c:pt idx="1">
                        <c:v>1</c:v>
                      </c:pt>
                      <c:pt idx="2">
                        <c:v>1</c:v>
                      </c:pt>
                      <c:pt idx="3">
                        <c:v>1</c:v>
                      </c:pt>
                      <c:pt idx="4">
                        <c:v>1</c:v>
                      </c:pt>
                      <c:pt idx="5">
                        <c:v>0</c:v>
                      </c:pt>
                      <c:pt idx="6">
                        <c:v>0</c:v>
                      </c:pt>
                      <c:pt idx="7">
                        <c:v>0</c:v>
                      </c:pt>
                      <c:pt idx="8">
                        <c:v>1</c:v>
                      </c:pt>
                      <c:pt idx="9">
                        <c:v>1</c:v>
                      </c:pt>
                      <c:pt idx="10">
                        <c:v>1</c:v>
                      </c:pt>
                      <c:pt idx="11">
                        <c:v>1</c:v>
                      </c:pt>
                    </c:numCache>
                  </c:numRef>
                </c:val>
                <c:extLst xmlns:c15="http://schemas.microsoft.com/office/drawing/2012/chart">
                  <c:ext xmlns:c16="http://schemas.microsoft.com/office/drawing/2014/chart" uri="{C3380CC4-5D6E-409C-BE32-E72D297353CC}">
                    <c16:uniqueId val="{00000002-3615-4152-98F0-F56D8C35595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'(Warmtevraag)'!$F$89</c15:sqref>
                        </c15:formulaRef>
                      </c:ext>
                    </c:extLst>
                    <c:strCache>
                      <c:ptCount val="1"/>
                    </c:strCache>
                  </c:strRef>
                </c:tx>
                <c:spPr>
                  <a:solidFill>
                    <a:schemeClr val="accent2">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'(Warmtevraag)'!$F$90:$F$102</c15:sqref>
                        </c15:formulaRef>
                      </c:ext>
                    </c:extLst>
                    <c:numCache>
                      <c:formatCode>General</c:formatCode>
                      <c:ptCount val="13"/>
                      <c:pt idx="0">
                        <c:v>744</c:v>
                      </c:pt>
                      <c:pt idx="1">
                        <c:v>672</c:v>
                      </c:pt>
                      <c:pt idx="2">
                        <c:v>744</c:v>
                      </c:pt>
                      <c:pt idx="3">
                        <c:v>720</c:v>
                      </c:pt>
                      <c:pt idx="4">
                        <c:v>744</c:v>
                      </c:pt>
                      <c:pt idx="5">
                        <c:v>0</c:v>
                      </c:pt>
                      <c:pt idx="6">
                        <c:v>0</c:v>
                      </c:pt>
                      <c:pt idx="7">
                        <c:v>0</c:v>
                      </c:pt>
                      <c:pt idx="8">
                        <c:v>720</c:v>
                      </c:pt>
                      <c:pt idx="9">
                        <c:v>744</c:v>
                      </c:pt>
                      <c:pt idx="10">
                        <c:v>720</c:v>
                      </c:pt>
                      <c:pt idx="11">
                        <c:v>744</c:v>
                      </c:pt>
                      <c:pt idx="12">
                        <c:v>6552</c:v>
                      </c:pt>
                    </c:numCache>
                  </c:numRef>
                </c:val>
                <c:extLst xmlns:c15="http://schemas.microsoft.com/office/drawing/2012/chart">
                  <c:ext xmlns:c16="http://schemas.microsoft.com/office/drawing/2014/chart" uri="{C3380CC4-5D6E-409C-BE32-E72D297353CC}">
                    <c16:uniqueId val="{00000003-3615-4152-98F0-F56D8C35595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'(Warmtevraag)'!$G$89</c15:sqref>
                        </c15:formulaRef>
                      </c:ext>
                    </c:extLst>
                    <c:strCache>
                      <c:ptCount val="1"/>
                      <c:pt idx="0">
                        <c:v>Normaal graaddagen</c:v>
                      </c:pt>
                    </c:strCache>
                  </c:strRef>
                </c:tx>
                <c:spPr>
                  <a:solidFill>
                    <a:schemeClr val="accent4">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'(Warmtevraag)'!$G$90:$G$102</c15:sqref>
                        </c15:formulaRef>
                      </c:ext>
                    </c:extLst>
                    <c:numCache>
                      <c:formatCode>General</c:formatCode>
                      <c:ptCount val="13"/>
                      <c:pt idx="0">
                        <c:v>401</c:v>
                      </c:pt>
                      <c:pt idx="1">
                        <c:v>357</c:v>
                      </c:pt>
                      <c:pt idx="2">
                        <c:v>298</c:v>
                      </c:pt>
                      <c:pt idx="3">
                        <c:v>196</c:v>
                      </c:pt>
                      <c:pt idx="4">
                        <c:v>99</c:v>
                      </c:pt>
                      <c:pt idx="5">
                        <c:v>42</c:v>
                      </c:pt>
                      <c:pt idx="6">
                        <c:v>13</c:v>
                      </c:pt>
                      <c:pt idx="7">
                        <c:v>14</c:v>
                      </c:pt>
                      <c:pt idx="8">
                        <c:v>62</c:v>
                      </c:pt>
                      <c:pt idx="9">
                        <c:v>159</c:v>
                      </c:pt>
                      <c:pt idx="10">
                        <c:v>281</c:v>
                      </c:pt>
                      <c:pt idx="11">
                        <c:v>379</c:v>
                      </c:pt>
                    </c:numCache>
                  </c:numRef>
                </c:val>
                <c:extLst xmlns:c15="http://schemas.microsoft.com/office/drawing/2012/chart">
                  <c:ext xmlns:c16="http://schemas.microsoft.com/office/drawing/2014/chart" uri="{C3380CC4-5D6E-409C-BE32-E72D297353CC}">
                    <c16:uniqueId val="{00000004-3615-4152-98F0-F56D8C35595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'(Warmtevraag)'!$H$89</c15:sqref>
                        </c15:formulaRef>
                      </c:ext>
                    </c:extLst>
                    <c:strCache>
                      <c:ptCount val="1"/>
                    </c:strCache>
                  </c:strRef>
                </c:tx>
                <c:spPr>
                  <a:solidFill>
                    <a:schemeClr val="accent6">
                      <a:lumMod val="6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'(Warmtevraag)'!$H$90:$H$102</c15:sqref>
                        </c15:formulaRef>
                      </c:ext>
                    </c:extLst>
                    <c:numCache>
                      <c:formatCode>General</c:formatCode>
                      <c:ptCount val="13"/>
                      <c:pt idx="0">
                        <c:v>401</c:v>
                      </c:pt>
                      <c:pt idx="1">
                        <c:v>357</c:v>
                      </c:pt>
                      <c:pt idx="2">
                        <c:v>298</c:v>
                      </c:pt>
                      <c:pt idx="3">
                        <c:v>196</c:v>
                      </c:pt>
                      <c:pt idx="4">
                        <c:v>99</c:v>
                      </c:pt>
                      <c:pt idx="5">
                        <c:v>0</c:v>
                      </c:pt>
                      <c:pt idx="6">
                        <c:v>0</c:v>
                      </c:pt>
                      <c:pt idx="7">
                        <c:v>0</c:v>
                      </c:pt>
                      <c:pt idx="8">
                        <c:v>62</c:v>
                      </c:pt>
                      <c:pt idx="9">
                        <c:v>159</c:v>
                      </c:pt>
                      <c:pt idx="10">
                        <c:v>281</c:v>
                      </c:pt>
                      <c:pt idx="11">
                        <c:v>379</c:v>
                      </c:pt>
                      <c:pt idx="12">
                        <c:v>2232</c:v>
                      </c:pt>
                    </c:numCache>
                  </c:numRef>
                </c:val>
                <c:extLst xmlns:c15="http://schemas.microsoft.com/office/drawing/2012/chart">
                  <c:ext xmlns:c16="http://schemas.microsoft.com/office/drawing/2014/chart" uri="{C3380CC4-5D6E-409C-BE32-E72D297353CC}">
                    <c16:uniqueId val="{00000005-3615-4152-98F0-F56D8C355956}"/>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'(Warmtevraag)'!$I$89</c15:sqref>
                        </c15:formulaRef>
                      </c:ext>
                    </c:extLst>
                    <c:strCache>
                      <c:ptCount val="1"/>
                      <c:pt idx="0">
                        <c:v>Verdeling van de ruimteverwarming</c:v>
                      </c:pt>
                    </c:strCache>
                  </c:strRef>
                </c:tx>
                <c:spPr>
                  <a:solidFill>
                    <a:schemeClr val="accent2">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'(Warmtevraag)'!$I$90:$I$102</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6-3615-4152-98F0-F56D8C355956}"/>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'(Warmtevraag)'!$J$89</c15:sqref>
                        </c15:formulaRef>
                      </c:ext>
                    </c:extLst>
                    <c:strCache>
                      <c:ptCount val="1"/>
                      <c:pt idx="0">
                        <c:v>Verdeling van SWW vraag</c:v>
                      </c:pt>
                    </c:strCache>
                  </c:strRef>
                </c:tx>
                <c:spPr>
                  <a:solidFill>
                    <a:schemeClr val="accent4">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'(Warmtevraag)'!$J$90:$J$102</c15:sqref>
                        </c15:formulaRef>
                      </c:ext>
                    </c:extLst>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7-3615-4152-98F0-F56D8C355956}"/>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'(Warmtevraag)'!$K$89</c15:sqref>
                        </c15:formulaRef>
                      </c:ext>
                    </c:extLst>
                    <c:strCache>
                      <c:ptCount val="1"/>
                      <c:pt idx="0">
                        <c:v>Warmtevraag/uur</c:v>
                      </c:pt>
                    </c:strCache>
                  </c:strRef>
                </c:tx>
                <c:spPr>
                  <a:solidFill>
                    <a:schemeClr val="accent6">
                      <a:lumMod val="80000"/>
                      <a:lumOff val="20000"/>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c:ext xmlns:c15="http://schemas.microsoft.com/office/drawing/2012/chart" uri="{02D57815-91ED-43cb-92C2-25804820EDAC}">
                        <c15:formulaRef>
                          <c15:sqref>'(Warmtevraag)'!$B$90:$B$101</c15:sqref>
                        </c15:formulaRef>
                      </c:ext>
                    </c:extLst>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'(Warmtevraag)'!$K$90:$K$101</c15:sqref>
                        </c15:formulaRef>
                      </c:ext>
                    </c:extLst>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8-3615-4152-98F0-F56D8C355956}"/>
                  </c:ext>
                </c:extLst>
              </c15:ser>
            </c15:filteredBarSeries>
          </c:ext>
        </c:extLst>
      </c:barChart>
      <c:catAx>
        <c:axId val="5719009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71895032"/>
        <c:crosses val="autoZero"/>
        <c:auto val="1"/>
        <c:lblAlgn val="ctr"/>
        <c:lblOffset val="100"/>
        <c:noMultiLvlLbl val="0"/>
      </c:catAx>
      <c:valAx>
        <c:axId val="5718950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71900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Vereenvoudigde warmtevraagcurve</a:t>
            </a:r>
          </a:p>
          <a:p>
            <a:pPr>
              <a:defRPr/>
            </a:pPr>
            <a:r>
              <a:rPr lang="nl-BE"/>
              <a:t>kW</a:t>
            </a:r>
            <a:r>
              <a:rPr lang="nl-BE" baseline="0"/>
              <a:t> vermogen per draaiuur</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barChart>
        <c:barDir val="col"/>
        <c:grouping val="clustered"/>
        <c:varyColors val="0"/>
        <c:ser>
          <c:idx val="0"/>
          <c:order val="0"/>
          <c:tx>
            <c:strRef>
              <c:f>'(Warmtevraag)'!$E$114:$E$125</c:f>
              <c:strCache>
                <c:ptCount val="12"/>
                <c:pt idx="0">
                  <c:v>744</c:v>
                </c:pt>
                <c:pt idx="1">
                  <c:v>1416</c:v>
                </c:pt>
                <c:pt idx="2">
                  <c:v>2160</c:v>
                </c:pt>
                <c:pt idx="3">
                  <c:v>2880</c:v>
                </c:pt>
                <c:pt idx="4">
                  <c:v>3624</c:v>
                </c:pt>
                <c:pt idx="5">
                  <c:v>4344</c:v>
                </c:pt>
                <c:pt idx="6">
                  <c:v>5088</c:v>
                </c:pt>
                <c:pt idx="7">
                  <c:v>5832</c:v>
                </c:pt>
                <c:pt idx="8">
                  <c:v>6552</c:v>
                </c:pt>
                <c:pt idx="9">
                  <c:v>7296</c:v>
                </c:pt>
                <c:pt idx="10">
                  <c:v>8016</c:v>
                </c:pt>
                <c:pt idx="11">
                  <c:v>8760</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numRef>
              <c:f>'(Warmtevraag)'!$E$114:$E$125</c:f>
              <c:numCache>
                <c:formatCode>General</c:formatCode>
                <c:ptCount val="12"/>
                <c:pt idx="0">
                  <c:v>744</c:v>
                </c:pt>
                <c:pt idx="1">
                  <c:v>1416</c:v>
                </c:pt>
                <c:pt idx="2">
                  <c:v>2160</c:v>
                </c:pt>
                <c:pt idx="3">
                  <c:v>2880</c:v>
                </c:pt>
                <c:pt idx="4">
                  <c:v>3624</c:v>
                </c:pt>
                <c:pt idx="5">
                  <c:v>4344</c:v>
                </c:pt>
                <c:pt idx="6">
                  <c:v>5088</c:v>
                </c:pt>
                <c:pt idx="7">
                  <c:v>5832</c:v>
                </c:pt>
                <c:pt idx="8">
                  <c:v>6552</c:v>
                </c:pt>
                <c:pt idx="9">
                  <c:v>7296</c:v>
                </c:pt>
                <c:pt idx="10">
                  <c:v>8016</c:v>
                </c:pt>
                <c:pt idx="11">
                  <c:v>8760</c:v>
                </c:pt>
              </c:numCache>
            </c:numRef>
          </c:cat>
          <c:val>
            <c:numRef>
              <c:f>'(Warmtevraag)'!$G$114:$G$125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6B5-45BA-B020-C76DF7242E61}"/>
            </c:ext>
          </c:extLst>
        </c:ser>
        <c:dLbls>
          <c:dLblPos val="inEnd"/>
          <c:showLegendKey val="0"/>
          <c:showVal val="1"/>
          <c:showCatName val="0"/>
          <c:showSerName val="0"/>
          <c:showPercent val="0"/>
          <c:showBubbleSize val="0"/>
        </c:dLbls>
        <c:gapWidth val="65"/>
        <c:axId val="792436536"/>
        <c:axId val="792437192"/>
      </c:barChart>
      <c:catAx>
        <c:axId val="7924365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792437192"/>
        <c:crosses val="autoZero"/>
        <c:auto val="1"/>
        <c:lblAlgn val="ctr"/>
        <c:lblOffset val="100"/>
        <c:noMultiLvlLbl val="0"/>
      </c:catAx>
      <c:valAx>
        <c:axId val="7924371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792436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Energie inhoud in functie van vochtgehalte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30525346583332713"/>
                  <c:y val="3.084891311662965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xVal>
            <c:numRef>
              <c:f>Masterdata!$M$16:$M$19</c:f>
              <c:numCache>
                <c:formatCode>General</c:formatCode>
                <c:ptCount val="4"/>
                <c:pt idx="0">
                  <c:v>7</c:v>
                </c:pt>
                <c:pt idx="1">
                  <c:v>18</c:v>
                </c:pt>
                <c:pt idx="2">
                  <c:v>25</c:v>
                </c:pt>
                <c:pt idx="3">
                  <c:v>55</c:v>
                </c:pt>
              </c:numCache>
            </c:numRef>
          </c:xVal>
          <c:yVal>
            <c:numRef>
              <c:f>Masterdata!$N$16:$N$19</c:f>
              <c:numCache>
                <c:formatCode>General</c:formatCode>
                <c:ptCount val="4"/>
                <c:pt idx="0">
                  <c:v>4.5999999999999996</c:v>
                </c:pt>
                <c:pt idx="1">
                  <c:v>4</c:v>
                </c:pt>
                <c:pt idx="2">
                  <c:v>3.6</c:v>
                </c:pt>
                <c:pt idx="3">
                  <c:v>1.6</c:v>
                </c:pt>
              </c:numCache>
            </c:numRef>
          </c:yVal>
          <c:smooth val="0"/>
          <c:extLst>
            <c:ext xmlns:c16="http://schemas.microsoft.com/office/drawing/2014/chart" uri="{C3380CC4-5D6E-409C-BE32-E72D297353CC}">
              <c16:uniqueId val="{00000000-8FAE-457C-A292-A179CCBA1627}"/>
            </c:ext>
          </c:extLst>
        </c:ser>
        <c:dLbls>
          <c:showLegendKey val="0"/>
          <c:showVal val="0"/>
          <c:showCatName val="0"/>
          <c:showSerName val="0"/>
          <c:showPercent val="0"/>
          <c:showBubbleSize val="0"/>
        </c:dLbls>
        <c:axId val="840481480"/>
        <c:axId val="840475904"/>
      </c:scatterChart>
      <c:valAx>
        <c:axId val="840481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40475904"/>
        <c:crosses val="autoZero"/>
        <c:crossBetween val="midCat"/>
      </c:valAx>
      <c:valAx>
        <c:axId val="84047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4048148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1"/>
            <c:dispEq val="1"/>
            <c:trendlineLbl>
              <c:layout>
                <c:manualLayout>
                  <c:x val="-0.1903260570444478"/>
                  <c:y val="-0.1700493560753885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trendlineLbl>
          </c:trendline>
          <c:trendline>
            <c:spPr>
              <a:ln w="19050" cap="rnd">
                <a:solidFill>
                  <a:schemeClr val="accent1"/>
                </a:solidFill>
                <a:prstDash val="sysDot"/>
              </a:ln>
              <a:effectLst/>
            </c:spPr>
            <c:trendlineType val="linear"/>
            <c:dispRSqr val="0"/>
            <c:dispEq val="0"/>
          </c:trendline>
          <c:cat>
            <c:numRef>
              <c:f>Masterdata!$A$31:$A$32</c:f>
              <c:numCache>
                <c:formatCode>General</c:formatCode>
                <c:ptCount val="2"/>
                <c:pt idx="0">
                  <c:v>55</c:v>
                </c:pt>
                <c:pt idx="1">
                  <c:v>300</c:v>
                </c:pt>
              </c:numCache>
            </c:numRef>
          </c:cat>
          <c:val>
            <c:numRef>
              <c:f>Masterdata!$B$31:$B$32</c:f>
              <c:numCache>
                <c:formatCode>General</c:formatCode>
                <c:ptCount val="2"/>
                <c:pt idx="0">
                  <c:v>2400</c:v>
                </c:pt>
                <c:pt idx="1">
                  <c:v>4900</c:v>
                </c:pt>
              </c:numCache>
            </c:numRef>
          </c:val>
          <c:smooth val="0"/>
          <c:extLst>
            <c:ext xmlns:c16="http://schemas.microsoft.com/office/drawing/2014/chart" uri="{C3380CC4-5D6E-409C-BE32-E72D297353CC}">
              <c16:uniqueId val="{00000003-D95A-403D-81A2-8CB315CBC4D3}"/>
            </c:ext>
          </c:extLst>
        </c:ser>
        <c:dLbls>
          <c:showLegendKey val="0"/>
          <c:showVal val="0"/>
          <c:showCatName val="0"/>
          <c:showSerName val="0"/>
          <c:showPercent val="0"/>
          <c:showBubbleSize val="0"/>
        </c:dLbls>
        <c:smooth val="0"/>
        <c:axId val="474762504"/>
        <c:axId val="474763160"/>
      </c:lineChart>
      <c:catAx>
        <c:axId val="474762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74763160"/>
        <c:crosses val="autoZero"/>
        <c:auto val="1"/>
        <c:lblAlgn val="ctr"/>
        <c:lblOffset val="100"/>
        <c:noMultiLvlLbl val="0"/>
      </c:catAx>
      <c:valAx>
        <c:axId val="4747631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4747625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24920</xdr:colOff>
      <xdr:row>84</xdr:row>
      <xdr:rowOff>11981</xdr:rowOff>
    </xdr:from>
    <xdr:to>
      <xdr:col>27</xdr:col>
      <xdr:colOff>177800</xdr:colOff>
      <xdr:row>101</xdr:row>
      <xdr:rowOff>165100</xdr:rowOff>
    </xdr:to>
    <xdr:graphicFrame macro="">
      <xdr:nvGraphicFramePr>
        <xdr:cNvPr id="4" name="Grafiek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39058</xdr:colOff>
      <xdr:row>111</xdr:row>
      <xdr:rowOff>11742</xdr:rowOff>
    </xdr:from>
    <xdr:to>
      <xdr:col>27</xdr:col>
      <xdr:colOff>190500</xdr:colOff>
      <xdr:row>129</xdr:row>
      <xdr:rowOff>165099</xdr:rowOff>
    </xdr:to>
    <xdr:graphicFrame macro="">
      <xdr:nvGraphicFramePr>
        <xdr:cNvPr id="8" name="Grafiek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11</xdr:col>
      <xdr:colOff>248248</xdr:colOff>
      <xdr:row>18</xdr:row>
      <xdr:rowOff>54094</xdr:rowOff>
    </xdr:to>
    <xdr:pic>
      <xdr:nvPicPr>
        <xdr:cNvPr id="2" name="Afbeelding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130550" y="0"/>
          <a:ext cx="3905848" cy="3368794"/>
        </a:xfrm>
        <a:prstGeom prst="rect">
          <a:avLst/>
        </a:prstGeom>
      </xdr:spPr>
    </xdr:pic>
    <xdr:clientData/>
  </xdr:twoCellAnchor>
  <xdr:twoCellAnchor editAs="oneCell">
    <xdr:from>
      <xdr:col>12</xdr:col>
      <xdr:colOff>0</xdr:colOff>
      <xdr:row>1</xdr:row>
      <xdr:rowOff>0</xdr:rowOff>
    </xdr:from>
    <xdr:to>
      <xdr:col>17</xdr:col>
      <xdr:colOff>584200</xdr:colOff>
      <xdr:row>12</xdr:row>
      <xdr:rowOff>141605</xdr:rowOff>
    </xdr:to>
    <xdr:pic>
      <xdr:nvPicPr>
        <xdr:cNvPr id="3" name="Afbeelding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97750" y="184150"/>
          <a:ext cx="3632200" cy="2167255"/>
        </a:xfrm>
        <a:prstGeom prst="rect">
          <a:avLst/>
        </a:prstGeom>
      </xdr:spPr>
    </xdr:pic>
    <xdr:clientData/>
  </xdr:twoCellAnchor>
  <xdr:twoCellAnchor>
    <xdr:from>
      <xdr:col>14</xdr:col>
      <xdr:colOff>219075</xdr:colOff>
      <xdr:row>14</xdr:row>
      <xdr:rowOff>174625</xdr:rowOff>
    </xdr:from>
    <xdr:to>
      <xdr:col>19</xdr:col>
      <xdr:colOff>527050</xdr:colOff>
      <xdr:row>25</xdr:row>
      <xdr:rowOff>6350</xdr:rowOff>
    </xdr:to>
    <xdr:graphicFrame macro="">
      <xdr:nvGraphicFramePr>
        <xdr:cNvPr id="4" name="Grafiek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3175</xdr:colOff>
      <xdr:row>29</xdr:row>
      <xdr:rowOff>180975</xdr:rowOff>
    </xdr:from>
    <xdr:to>
      <xdr:col>7</xdr:col>
      <xdr:colOff>381000</xdr:colOff>
      <xdr:row>37</xdr:row>
      <xdr:rowOff>165100</xdr:rowOff>
    </xdr:to>
    <xdr:graphicFrame macro="">
      <xdr:nvGraphicFramePr>
        <xdr:cNvPr id="5" name="Grafiek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1EE07-60F8-497E-8573-AAE9549F36EF}">
  <sheetPr codeName="Blad1"/>
  <dimension ref="A1:V23"/>
  <sheetViews>
    <sheetView tabSelected="1" workbookViewId="0"/>
  </sheetViews>
  <sheetFormatPr defaultRowHeight="14.5" x14ac:dyDescent="0.35"/>
  <sheetData>
    <row r="1" spans="1:19" ht="15" thickBot="1" x14ac:dyDescent="0.4">
      <c r="A1" s="97" t="s">
        <v>0</v>
      </c>
      <c r="B1" s="98"/>
      <c r="C1" s="98"/>
      <c r="D1" s="98"/>
      <c r="E1" s="98"/>
      <c r="F1" s="98"/>
      <c r="G1" s="98"/>
      <c r="H1" s="98"/>
      <c r="I1" s="98"/>
      <c r="J1" s="98"/>
      <c r="K1" s="98"/>
      <c r="L1" s="98"/>
      <c r="M1" s="98"/>
      <c r="N1" s="98"/>
      <c r="O1" s="98"/>
      <c r="P1" s="98"/>
      <c r="Q1" s="98"/>
      <c r="R1" s="98"/>
      <c r="S1" s="99"/>
    </row>
    <row r="2" spans="1:19" x14ac:dyDescent="0.35">
      <c r="A2" s="100"/>
      <c r="B2" s="101"/>
      <c r="C2" s="101"/>
      <c r="D2" s="101"/>
      <c r="E2" s="101"/>
      <c r="F2" s="101"/>
      <c r="G2" s="101"/>
      <c r="H2" s="101"/>
      <c r="I2" s="101"/>
      <c r="J2" s="101"/>
      <c r="K2" s="101"/>
      <c r="L2" s="101"/>
      <c r="M2" s="101"/>
      <c r="N2" s="101"/>
      <c r="O2" s="101"/>
      <c r="P2" s="101"/>
      <c r="Q2" s="101"/>
      <c r="R2" s="101"/>
      <c r="S2" s="102"/>
    </row>
    <row r="3" spans="1:19" x14ac:dyDescent="0.35">
      <c r="A3" s="100" t="s">
        <v>209</v>
      </c>
      <c r="B3" s="101"/>
      <c r="C3" s="101"/>
      <c r="D3" s="101"/>
      <c r="E3" s="101"/>
      <c r="F3" s="101"/>
      <c r="G3" s="101"/>
      <c r="H3" s="101"/>
      <c r="I3" s="101"/>
      <c r="J3" s="101"/>
      <c r="K3" s="101"/>
      <c r="L3" s="101"/>
      <c r="M3" s="101"/>
      <c r="N3" s="101"/>
      <c r="O3" s="101"/>
      <c r="P3" s="101"/>
      <c r="Q3" s="101"/>
      <c r="R3" s="101"/>
      <c r="S3" s="102"/>
    </row>
    <row r="4" spans="1:19" x14ac:dyDescent="0.35">
      <c r="A4" s="100"/>
      <c r="B4" s="101"/>
      <c r="C4" s="101"/>
      <c r="D4" s="101"/>
      <c r="E4" s="101"/>
      <c r="F4" s="101"/>
      <c r="G4" s="101"/>
      <c r="H4" s="101"/>
      <c r="I4" s="101"/>
      <c r="J4" s="101"/>
      <c r="K4" s="101"/>
      <c r="L4" s="101"/>
      <c r="M4" s="101"/>
      <c r="N4" s="101"/>
      <c r="O4" s="101"/>
      <c r="P4" s="101"/>
      <c r="Q4" s="101"/>
      <c r="R4" s="101"/>
      <c r="S4" s="102"/>
    </row>
    <row r="5" spans="1:19" x14ac:dyDescent="0.35">
      <c r="A5" s="100" t="s">
        <v>20</v>
      </c>
      <c r="B5" s="101"/>
      <c r="C5" s="101"/>
      <c r="D5" s="101"/>
      <c r="E5" s="101"/>
      <c r="F5" s="101"/>
      <c r="G5" s="101"/>
      <c r="H5" s="101"/>
      <c r="I5" s="101"/>
      <c r="J5" s="101"/>
      <c r="K5" s="101"/>
      <c r="L5" s="101"/>
      <c r="M5" s="101"/>
      <c r="N5" s="101"/>
      <c r="O5" s="101"/>
      <c r="P5" s="101"/>
      <c r="Q5" s="101"/>
      <c r="R5" s="101"/>
      <c r="S5" s="102"/>
    </row>
    <row r="6" spans="1:19" x14ac:dyDescent="0.35">
      <c r="A6" s="100" t="s">
        <v>21</v>
      </c>
      <c r="B6" s="101"/>
      <c r="C6" s="101"/>
      <c r="D6" s="101"/>
      <c r="E6" s="101"/>
      <c r="F6" s="101"/>
      <c r="G6" s="101"/>
      <c r="H6" s="101"/>
      <c r="I6" s="101"/>
      <c r="J6" s="101"/>
      <c r="K6" s="101"/>
      <c r="L6" s="101"/>
      <c r="M6" s="101"/>
      <c r="N6" s="101"/>
      <c r="O6" s="101"/>
      <c r="P6" s="101"/>
      <c r="Q6" s="101"/>
      <c r="R6" s="101"/>
      <c r="S6" s="102"/>
    </row>
    <row r="7" spans="1:19" x14ac:dyDescent="0.35">
      <c r="A7" s="100" t="s">
        <v>22</v>
      </c>
      <c r="B7" s="101"/>
      <c r="C7" s="101"/>
      <c r="D7" s="101"/>
      <c r="E7" s="101"/>
      <c r="F7" s="101"/>
      <c r="G7" s="101"/>
      <c r="H7" s="101"/>
      <c r="I7" s="101"/>
      <c r="J7" s="101"/>
      <c r="K7" s="101"/>
      <c r="L7" s="101"/>
      <c r="M7" s="101"/>
      <c r="N7" s="101"/>
      <c r="O7" s="101"/>
      <c r="P7" s="101"/>
      <c r="Q7" s="101"/>
      <c r="R7" s="101"/>
      <c r="S7" s="102"/>
    </row>
    <row r="8" spans="1:19" x14ac:dyDescent="0.35">
      <c r="A8" s="100"/>
      <c r="B8" s="101"/>
      <c r="C8" s="101"/>
      <c r="D8" s="101"/>
      <c r="E8" s="101"/>
      <c r="F8" s="101"/>
      <c r="G8" s="101"/>
      <c r="H8" s="101"/>
      <c r="I8" s="101"/>
      <c r="J8" s="101"/>
      <c r="K8" s="101"/>
      <c r="L8" s="101"/>
      <c r="M8" s="101"/>
      <c r="N8" s="101"/>
      <c r="O8" s="101"/>
      <c r="P8" s="101"/>
      <c r="Q8" s="101"/>
      <c r="R8" s="101"/>
      <c r="S8" s="102"/>
    </row>
    <row r="9" spans="1:19" x14ac:dyDescent="0.35">
      <c r="A9" s="100" t="s">
        <v>23</v>
      </c>
      <c r="B9" s="101"/>
      <c r="C9" s="101"/>
      <c r="D9" s="101"/>
      <c r="E9" s="101"/>
      <c r="F9" s="101"/>
      <c r="G9" s="101"/>
      <c r="H9" s="101"/>
      <c r="I9" s="101"/>
      <c r="J9" s="101"/>
      <c r="K9" s="101"/>
      <c r="L9" s="101"/>
      <c r="M9" s="101"/>
      <c r="N9" s="101"/>
      <c r="O9" s="101"/>
      <c r="P9" s="101"/>
      <c r="Q9" s="101"/>
      <c r="R9" s="101"/>
      <c r="S9" s="102"/>
    </row>
    <row r="10" spans="1:19" x14ac:dyDescent="0.35">
      <c r="A10" s="100" t="s">
        <v>210</v>
      </c>
      <c r="B10" s="101"/>
      <c r="C10" s="101"/>
      <c r="D10" s="101"/>
      <c r="E10" s="101"/>
      <c r="F10" s="101"/>
      <c r="G10" s="101"/>
      <c r="H10" s="101"/>
      <c r="I10" s="101"/>
      <c r="J10" s="101"/>
      <c r="K10" s="101"/>
      <c r="L10" s="101"/>
      <c r="M10" s="101"/>
      <c r="N10" s="101"/>
      <c r="O10" s="101"/>
      <c r="P10" s="101"/>
      <c r="Q10" s="101"/>
      <c r="R10" s="101"/>
      <c r="S10" s="102"/>
    </row>
    <row r="11" spans="1:19" x14ac:dyDescent="0.35">
      <c r="A11" s="100"/>
      <c r="B11" s="101"/>
      <c r="C11" s="101"/>
      <c r="D11" s="101"/>
      <c r="E11" s="101"/>
      <c r="F11" s="101"/>
      <c r="G11" s="101"/>
      <c r="H11" s="101"/>
      <c r="I11" s="101"/>
      <c r="J11" s="101"/>
      <c r="K11" s="101"/>
      <c r="L11" s="101"/>
      <c r="M11" s="101"/>
      <c r="N11" s="101"/>
      <c r="O11" s="101"/>
      <c r="P11" s="101"/>
      <c r="Q11" s="101"/>
      <c r="R11" s="101"/>
      <c r="S11" s="102"/>
    </row>
    <row r="12" spans="1:19" ht="15" thickBot="1" x14ac:dyDescent="0.4">
      <c r="A12" s="103" t="s">
        <v>24</v>
      </c>
      <c r="B12" s="101"/>
      <c r="C12" s="101"/>
      <c r="D12" s="101"/>
      <c r="E12" s="101"/>
      <c r="F12" s="101"/>
      <c r="G12" s="101"/>
      <c r="H12" s="101"/>
      <c r="I12" s="101"/>
      <c r="J12" s="101"/>
      <c r="K12" s="101"/>
      <c r="L12" s="101"/>
      <c r="M12" s="101"/>
      <c r="N12" s="101"/>
      <c r="O12" s="101"/>
      <c r="P12" s="101"/>
      <c r="Q12" s="101"/>
      <c r="R12" s="101"/>
      <c r="S12" s="102"/>
    </row>
    <row r="13" spans="1:19" ht="15" thickBot="1" x14ac:dyDescent="0.4">
      <c r="A13" s="2"/>
      <c r="B13" s="101" t="s">
        <v>25</v>
      </c>
      <c r="C13" s="101"/>
      <c r="D13" s="101"/>
      <c r="E13" s="101"/>
      <c r="F13" s="101"/>
      <c r="G13" s="101"/>
      <c r="H13" s="101"/>
      <c r="I13" s="101"/>
      <c r="J13" s="101"/>
      <c r="K13" s="101"/>
      <c r="L13" s="101"/>
      <c r="M13" s="101"/>
      <c r="N13" s="101"/>
      <c r="O13" s="101"/>
      <c r="P13" s="101"/>
      <c r="Q13" s="101"/>
      <c r="R13" s="101"/>
      <c r="S13" s="102"/>
    </row>
    <row r="14" spans="1:19" ht="15" thickBot="1" x14ac:dyDescent="0.4">
      <c r="A14" s="100"/>
      <c r="B14" s="101"/>
      <c r="C14" s="101"/>
      <c r="D14" s="101"/>
      <c r="E14" s="101"/>
      <c r="F14" s="101"/>
      <c r="G14" s="101"/>
      <c r="H14" s="101"/>
      <c r="I14" s="101"/>
      <c r="J14" s="101"/>
      <c r="K14" s="101"/>
      <c r="L14" s="101"/>
      <c r="M14" s="101"/>
      <c r="N14" s="101"/>
      <c r="O14" s="101"/>
      <c r="P14" s="101"/>
      <c r="Q14" s="101"/>
      <c r="R14" s="101"/>
      <c r="S14" s="102"/>
    </row>
    <row r="15" spans="1:19" ht="15" thickBot="1" x14ac:dyDescent="0.4">
      <c r="A15" s="1"/>
      <c r="B15" s="101" t="s">
        <v>207</v>
      </c>
      <c r="C15" s="101"/>
      <c r="D15" s="101"/>
      <c r="E15" s="101"/>
      <c r="F15" s="101"/>
      <c r="G15" s="101"/>
      <c r="H15" s="101"/>
      <c r="I15" s="101"/>
      <c r="J15" s="101"/>
      <c r="K15" s="101"/>
      <c r="L15" s="101"/>
      <c r="M15" s="101"/>
      <c r="N15" s="101"/>
      <c r="O15" s="101"/>
      <c r="P15" s="101"/>
      <c r="Q15" s="101"/>
      <c r="R15" s="101"/>
      <c r="S15" s="102"/>
    </row>
    <row r="16" spans="1:19" ht="15" thickBot="1" x14ac:dyDescent="0.4">
      <c r="A16" s="100"/>
      <c r="B16" s="101"/>
      <c r="C16" s="101"/>
      <c r="D16" s="101"/>
      <c r="E16" s="101"/>
      <c r="F16" s="101"/>
      <c r="G16" s="101"/>
      <c r="H16" s="101"/>
      <c r="I16" s="101"/>
      <c r="J16" s="101"/>
      <c r="K16" s="101"/>
      <c r="L16" s="101"/>
      <c r="M16" s="101"/>
      <c r="N16" s="101"/>
      <c r="O16" s="101"/>
      <c r="P16" s="101"/>
      <c r="Q16" s="101"/>
      <c r="R16" s="101"/>
      <c r="S16" s="102"/>
    </row>
    <row r="17" spans="1:22" ht="15" thickBot="1" x14ac:dyDescent="0.4">
      <c r="A17" s="105"/>
      <c r="B17" s="101" t="s">
        <v>252</v>
      </c>
      <c r="C17" s="101"/>
      <c r="D17" s="101"/>
      <c r="E17" s="101"/>
      <c r="F17" s="101"/>
      <c r="G17" s="101"/>
      <c r="H17" s="101"/>
      <c r="I17" s="101"/>
      <c r="J17" s="101"/>
      <c r="K17" s="101"/>
      <c r="L17" s="101"/>
      <c r="M17" s="101"/>
      <c r="N17" s="101"/>
      <c r="O17" s="101"/>
      <c r="P17" s="101"/>
      <c r="Q17" s="101"/>
      <c r="R17" s="101"/>
      <c r="S17" s="102"/>
    </row>
    <row r="18" spans="1:22" ht="15" thickBot="1" x14ac:dyDescent="0.4">
      <c r="A18" s="104"/>
      <c r="B18" s="101" t="s">
        <v>208</v>
      </c>
      <c r="C18" s="101"/>
      <c r="D18" s="101"/>
      <c r="E18" s="101"/>
      <c r="F18" s="101"/>
      <c r="G18" s="101"/>
      <c r="H18" s="101"/>
      <c r="I18" s="101"/>
      <c r="J18" s="101"/>
      <c r="K18" s="101"/>
      <c r="L18" s="101"/>
      <c r="M18" s="101"/>
      <c r="N18" s="101"/>
      <c r="O18" s="101"/>
      <c r="P18" s="101"/>
      <c r="Q18" s="101"/>
      <c r="R18" s="101"/>
      <c r="S18" s="102"/>
    </row>
    <row r="19" spans="1:22" x14ac:dyDescent="0.35">
      <c r="A19" s="84" t="s">
        <v>202</v>
      </c>
      <c r="B19" s="85"/>
      <c r="C19" s="86"/>
      <c r="D19" s="86"/>
      <c r="E19" s="86"/>
      <c r="F19" s="86"/>
      <c r="G19" s="86"/>
      <c r="H19" s="86"/>
      <c r="I19" s="86"/>
      <c r="J19" s="86"/>
      <c r="K19" s="86"/>
      <c r="L19" s="86"/>
      <c r="M19" s="92"/>
      <c r="N19" s="92"/>
      <c r="O19" s="92"/>
      <c r="P19" s="92"/>
      <c r="Q19" s="92"/>
      <c r="R19" s="92"/>
      <c r="S19" s="93"/>
      <c r="T19" s="7"/>
      <c r="U19" s="7"/>
      <c r="V19" s="7"/>
    </row>
    <row r="20" spans="1:22" x14ac:dyDescent="0.35">
      <c r="A20" s="87" t="s">
        <v>203</v>
      </c>
      <c r="B20" s="88"/>
      <c r="C20" s="88"/>
      <c r="D20" s="88"/>
      <c r="E20" s="88"/>
      <c r="F20" s="88"/>
      <c r="G20" s="88"/>
      <c r="H20" s="88"/>
      <c r="I20" s="88"/>
      <c r="J20" s="88"/>
      <c r="K20" s="88"/>
      <c r="L20" s="88"/>
      <c r="M20" s="91"/>
      <c r="N20" s="91"/>
      <c r="O20" s="91"/>
      <c r="P20" s="91"/>
      <c r="Q20" s="91"/>
      <c r="R20" s="91"/>
      <c r="S20" s="94"/>
      <c r="T20" s="7"/>
      <c r="U20" s="7"/>
      <c r="V20" s="7"/>
    </row>
    <row r="21" spans="1:22" x14ac:dyDescent="0.35">
      <c r="A21" s="87" t="s">
        <v>204</v>
      </c>
      <c r="B21" s="88"/>
      <c r="C21" s="88"/>
      <c r="D21" s="88"/>
      <c r="E21" s="88"/>
      <c r="F21" s="88"/>
      <c r="G21" s="88"/>
      <c r="H21" s="88"/>
      <c r="I21" s="88"/>
      <c r="J21" s="88"/>
      <c r="K21" s="88"/>
      <c r="L21" s="88"/>
      <c r="M21" s="91"/>
      <c r="N21" s="91"/>
      <c r="O21" s="91"/>
      <c r="P21" s="91"/>
      <c r="Q21" s="91"/>
      <c r="R21" s="91"/>
      <c r="S21" s="94"/>
      <c r="T21" s="7"/>
      <c r="U21" s="7"/>
      <c r="V21" s="7"/>
    </row>
    <row r="22" spans="1:22" x14ac:dyDescent="0.35">
      <c r="A22" s="87" t="s">
        <v>205</v>
      </c>
      <c r="B22" s="88"/>
      <c r="C22" s="88"/>
      <c r="D22" s="88"/>
      <c r="E22" s="88"/>
      <c r="F22" s="88"/>
      <c r="G22" s="88"/>
      <c r="H22" s="88"/>
      <c r="I22" s="88"/>
      <c r="J22" s="88"/>
      <c r="K22" s="88"/>
      <c r="L22" s="88"/>
      <c r="M22" s="91"/>
      <c r="N22" s="91"/>
      <c r="O22" s="91"/>
      <c r="P22" s="91"/>
      <c r="Q22" s="91"/>
      <c r="R22" s="91"/>
      <c r="S22" s="94"/>
      <c r="T22" s="7"/>
      <c r="U22" s="7"/>
      <c r="V22" s="7"/>
    </row>
    <row r="23" spans="1:22" ht="15" thickBot="1" x14ac:dyDescent="0.4">
      <c r="A23" s="89" t="s">
        <v>206</v>
      </c>
      <c r="B23" s="90"/>
      <c r="C23" s="90"/>
      <c r="D23" s="90"/>
      <c r="E23" s="90"/>
      <c r="F23" s="90"/>
      <c r="G23" s="90"/>
      <c r="H23" s="90"/>
      <c r="I23" s="90"/>
      <c r="J23" s="90"/>
      <c r="K23" s="90"/>
      <c r="L23" s="90"/>
      <c r="M23" s="95"/>
      <c r="N23" s="95"/>
      <c r="O23" s="95"/>
      <c r="P23" s="95"/>
      <c r="Q23" s="95"/>
      <c r="R23" s="95"/>
      <c r="S23" s="96"/>
      <c r="T23" s="7"/>
      <c r="U23" s="7"/>
      <c r="V23" s="7"/>
    </row>
  </sheetData>
  <sheetProtection algorithmName="SHA-512" hashValue="SyjMWX26IrRZT9sP2u+Zl4HmkZ6qrjwqZY5bNI1yIssQ2Xnq+wRQRxIqe+/KeuBTD3gI9MEGvnGtEhyxRsw1Ng==" saltValue="bWkbe4rkgvyG0YsNNUZXf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F92DB-6E0F-427F-9941-847D20E6F891}">
  <sheetPr codeName="Blad2"/>
  <dimension ref="A1:AJ152"/>
  <sheetViews>
    <sheetView zoomScale="70" zoomScaleNormal="70" workbookViewId="0">
      <selection activeCell="E5" sqref="E5"/>
    </sheetView>
  </sheetViews>
  <sheetFormatPr defaultRowHeight="14.5" x14ac:dyDescent="0.35"/>
  <cols>
    <col min="1" max="1" width="31" style="11" customWidth="1"/>
    <col min="2" max="2" width="61.1796875" style="11" bestFit="1" customWidth="1"/>
    <col min="3" max="16" width="8.7265625" style="11"/>
    <col min="17" max="17" width="12" style="11" customWidth="1"/>
    <col min="18" max="16384" width="8.7265625" style="11"/>
  </cols>
  <sheetData>
    <row r="1" spans="1:36" ht="15" thickBot="1" x14ac:dyDescent="0.4">
      <c r="A1" s="97" t="s">
        <v>145</v>
      </c>
      <c r="B1" s="97"/>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3" spans="1:36" x14ac:dyDescent="0.35">
      <c r="A3" s="15" t="s">
        <v>37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ht="15" thickBot="1" x14ac:dyDescent="0.4">
      <c r="A4" s="107" t="s">
        <v>59</v>
      </c>
      <c r="B4" s="107"/>
      <c r="C4" s="25"/>
      <c r="D4" s="25"/>
    </row>
    <row r="5" spans="1:36" ht="15" thickBot="1" x14ac:dyDescent="0.4">
      <c r="A5" s="17"/>
      <c r="B5" s="17"/>
      <c r="E5" s="123" t="s">
        <v>38</v>
      </c>
      <c r="F5" s="108" t="s">
        <v>219</v>
      </c>
      <c r="G5" s="109" t="s">
        <v>40</v>
      </c>
      <c r="H5" s="109"/>
      <c r="I5" s="109"/>
      <c r="J5" s="109"/>
      <c r="K5" s="109"/>
      <c r="L5" s="109"/>
      <c r="M5" s="109"/>
      <c r="N5" s="109"/>
      <c r="O5" s="109"/>
    </row>
    <row r="6" spans="1:36" x14ac:dyDescent="0.35">
      <c r="A6" s="17"/>
      <c r="B6" s="17"/>
      <c r="E6" s="108"/>
      <c r="F6" s="108" t="s">
        <v>220</v>
      </c>
      <c r="G6" s="109" t="s">
        <v>60</v>
      </c>
      <c r="H6" s="109"/>
      <c r="I6" s="109"/>
      <c r="J6" s="109"/>
      <c r="K6" s="109"/>
      <c r="L6" s="109"/>
      <c r="M6" s="109"/>
      <c r="N6" s="109"/>
      <c r="O6" s="109"/>
    </row>
    <row r="7" spans="1:36" x14ac:dyDescent="0.35">
      <c r="A7" s="17"/>
      <c r="B7" s="17"/>
    </row>
    <row r="8" spans="1:36" ht="15" thickBot="1" x14ac:dyDescent="0.4">
      <c r="A8" s="107" t="s">
        <v>45</v>
      </c>
      <c r="B8" s="25"/>
      <c r="C8" s="25"/>
      <c r="D8" s="25"/>
    </row>
    <row r="9" spans="1:36" ht="15" thickBot="1" x14ac:dyDescent="0.4">
      <c r="A9" s="10"/>
      <c r="E9" s="124" t="s">
        <v>38</v>
      </c>
      <c r="F9" s="108" t="s">
        <v>219</v>
      </c>
      <c r="G9" s="109" t="s">
        <v>41</v>
      </c>
      <c r="H9" s="109"/>
      <c r="I9" s="109"/>
      <c r="J9" s="109"/>
      <c r="K9" s="109"/>
      <c r="L9" s="109"/>
      <c r="M9" s="109"/>
      <c r="N9" s="109"/>
      <c r="O9" s="109"/>
    </row>
    <row r="10" spans="1:36" x14ac:dyDescent="0.35">
      <c r="E10" s="108"/>
      <c r="F10" s="108" t="s">
        <v>220</v>
      </c>
      <c r="G10" s="109" t="s">
        <v>50</v>
      </c>
      <c r="H10" s="109"/>
      <c r="I10" s="109"/>
      <c r="J10" s="109"/>
      <c r="K10" s="109"/>
      <c r="L10" s="109"/>
      <c r="M10" s="109"/>
      <c r="N10" s="109"/>
      <c r="O10" s="109"/>
    </row>
    <row r="12" spans="1:36" ht="15" thickBot="1" x14ac:dyDescent="0.4">
      <c r="A12" s="107" t="s">
        <v>47</v>
      </c>
      <c r="B12" s="25"/>
      <c r="C12" s="25"/>
      <c r="D12" s="25"/>
    </row>
    <row r="13" spans="1:36" ht="15" thickBot="1" x14ac:dyDescent="0.4">
      <c r="E13" s="124" t="s">
        <v>38</v>
      </c>
      <c r="F13" s="109" t="s">
        <v>38</v>
      </c>
      <c r="G13" s="109" t="s">
        <v>221</v>
      </c>
      <c r="H13" s="109"/>
      <c r="I13" s="109"/>
      <c r="J13" s="109"/>
      <c r="K13" s="109"/>
      <c r="L13" s="109"/>
      <c r="M13" s="109"/>
      <c r="N13" s="109"/>
      <c r="O13" s="109"/>
    </row>
    <row r="14" spans="1:36" x14ac:dyDescent="0.35">
      <c r="E14" s="108"/>
      <c r="F14" s="109" t="s">
        <v>39</v>
      </c>
      <c r="G14" s="109" t="s">
        <v>42</v>
      </c>
      <c r="H14" s="109"/>
      <c r="I14" s="109"/>
      <c r="J14" s="109"/>
      <c r="K14" s="109"/>
      <c r="L14" s="109"/>
      <c r="M14" s="109"/>
      <c r="N14" s="109"/>
      <c r="O14" s="109"/>
    </row>
    <row r="15" spans="1:36" x14ac:dyDescent="0.35">
      <c r="A15" s="107" t="s">
        <v>48</v>
      </c>
      <c r="B15" s="25"/>
      <c r="C15" s="25"/>
      <c r="D15" s="25"/>
    </row>
    <row r="16" spans="1:36" x14ac:dyDescent="0.35">
      <c r="E16" s="110" t="s">
        <v>108</v>
      </c>
      <c r="F16" s="111"/>
      <c r="G16" s="111"/>
      <c r="H16" s="125"/>
      <c r="I16" s="111" t="s">
        <v>44</v>
      </c>
      <c r="J16" s="112"/>
      <c r="L16" s="18" t="s">
        <v>115</v>
      </c>
      <c r="M16" s="19">
        <f>H16*10.3</f>
        <v>0</v>
      </c>
      <c r="N16" s="11" t="s">
        <v>13</v>
      </c>
      <c r="Q16" s="20">
        <f>M18</f>
        <v>0</v>
      </c>
      <c r="R16" s="11" t="s">
        <v>13</v>
      </c>
    </row>
    <row r="17" spans="1:18" x14ac:dyDescent="0.35">
      <c r="E17" s="113"/>
      <c r="F17" s="108"/>
      <c r="G17" s="108"/>
      <c r="H17" s="125"/>
      <c r="I17" s="108" t="s">
        <v>43</v>
      </c>
      <c r="J17" s="114"/>
      <c r="M17" s="19">
        <f>H17*10.78</f>
        <v>0</v>
      </c>
      <c r="N17" s="11" t="s">
        <v>13</v>
      </c>
    </row>
    <row r="18" spans="1:18" x14ac:dyDescent="0.35">
      <c r="E18" s="113" t="s">
        <v>109</v>
      </c>
      <c r="F18" s="108"/>
      <c r="G18" s="108"/>
      <c r="H18" s="126" t="s">
        <v>38</v>
      </c>
      <c r="I18" s="108"/>
      <c r="J18" s="114"/>
      <c r="L18" s="21" t="s">
        <v>116</v>
      </c>
      <c r="M18" s="11">
        <f>IF(E13="neen",IF(M16=0,M17-M19,M16-M19),0)</f>
        <v>0</v>
      </c>
      <c r="N18" s="11" t="s">
        <v>13</v>
      </c>
    </row>
    <row r="19" spans="1:18" ht="15" thickBot="1" x14ac:dyDescent="0.4">
      <c r="E19" s="113" t="s">
        <v>111</v>
      </c>
      <c r="F19" s="108"/>
      <c r="G19" s="108"/>
      <c r="H19" s="127"/>
      <c r="I19" s="108" t="s">
        <v>112</v>
      </c>
      <c r="J19" s="114"/>
      <c r="L19" s="21" t="s">
        <v>117</v>
      </c>
      <c r="M19" s="22">
        <f>IF(H18="neen",0,(P19*365*H19))</f>
        <v>0</v>
      </c>
      <c r="N19" s="11" t="s">
        <v>13</v>
      </c>
      <c r="P19" s="23">
        <f>(315+1400+3605)/3/1000</f>
        <v>1.7733333333333332</v>
      </c>
      <c r="Q19" s="11" t="s">
        <v>118</v>
      </c>
    </row>
    <row r="20" spans="1:18" x14ac:dyDescent="0.35">
      <c r="E20" s="115" t="s">
        <v>110</v>
      </c>
      <c r="F20" s="116"/>
      <c r="G20" s="116"/>
      <c r="H20" s="116"/>
      <c r="I20" s="116"/>
      <c r="J20" s="117"/>
      <c r="K20" s="24"/>
      <c r="L20" s="24"/>
    </row>
    <row r="21" spans="1:18" x14ac:dyDescent="0.35">
      <c r="E21" s="24"/>
      <c r="F21" s="24"/>
      <c r="G21" s="24"/>
      <c r="H21" s="24"/>
      <c r="I21" s="24"/>
      <c r="J21" s="24"/>
    </row>
    <row r="22" spans="1:18" x14ac:dyDescent="0.35">
      <c r="A22" s="107" t="s">
        <v>49</v>
      </c>
      <c r="B22" s="25"/>
      <c r="C22" s="25"/>
      <c r="D22" s="25"/>
    </row>
    <row r="23" spans="1:18" ht="15" thickBot="1" x14ac:dyDescent="0.4">
      <c r="A23" s="14"/>
      <c r="B23" s="54" t="s">
        <v>227</v>
      </c>
      <c r="C23" s="54"/>
      <c r="D23" s="54"/>
    </row>
    <row r="24" spans="1:18" ht="15" thickBot="1" x14ac:dyDescent="0.4">
      <c r="A24" s="14"/>
      <c r="E24" s="123" t="s">
        <v>38</v>
      </c>
      <c r="F24" s="108" t="s">
        <v>219</v>
      </c>
      <c r="G24" s="109" t="s">
        <v>114</v>
      </c>
      <c r="H24" s="109"/>
      <c r="I24" s="109"/>
      <c r="J24" s="109"/>
      <c r="K24" s="109"/>
      <c r="L24" s="109"/>
      <c r="M24" s="109"/>
      <c r="N24" s="109"/>
      <c r="O24" s="109"/>
    </row>
    <row r="25" spans="1:18" x14ac:dyDescent="0.35">
      <c r="A25" s="14"/>
      <c r="E25" s="108"/>
      <c r="F25" s="108" t="s">
        <v>220</v>
      </c>
      <c r="G25" s="109" t="s">
        <v>53</v>
      </c>
      <c r="H25" s="109"/>
      <c r="I25" s="109"/>
      <c r="J25" s="109"/>
      <c r="K25" s="109"/>
      <c r="L25" s="109"/>
      <c r="M25" s="109"/>
      <c r="N25" s="109"/>
      <c r="O25" s="109"/>
    </row>
    <row r="26" spans="1:18" x14ac:dyDescent="0.35">
      <c r="E26" s="10"/>
      <c r="F26" s="10"/>
      <c r="G26" s="10"/>
      <c r="H26" s="10"/>
      <c r="I26" s="10"/>
      <c r="J26" s="10"/>
      <c r="K26" s="10"/>
      <c r="L26" s="10"/>
      <c r="M26" s="10"/>
      <c r="N26" s="10"/>
      <c r="O26" s="10"/>
    </row>
    <row r="27" spans="1:18" ht="15" thickBot="1" x14ac:dyDescent="0.4">
      <c r="B27" s="54" t="s">
        <v>228</v>
      </c>
      <c r="C27" s="54"/>
      <c r="D27" s="54"/>
    </row>
    <row r="28" spans="1:18" ht="15" thickBot="1" x14ac:dyDescent="0.4">
      <c r="E28" s="123" t="s">
        <v>38</v>
      </c>
      <c r="F28" s="108" t="s">
        <v>219</v>
      </c>
      <c r="G28" s="109" t="s">
        <v>229</v>
      </c>
      <c r="H28" s="109"/>
      <c r="I28" s="109"/>
      <c r="J28" s="109"/>
      <c r="K28" s="109"/>
      <c r="L28" s="109"/>
      <c r="M28" s="109"/>
      <c r="N28" s="109"/>
      <c r="O28" s="109"/>
    </row>
    <row r="29" spans="1:18" x14ac:dyDescent="0.35">
      <c r="E29" s="108"/>
      <c r="F29" s="108" t="s">
        <v>220</v>
      </c>
      <c r="G29" s="109" t="s">
        <v>242</v>
      </c>
      <c r="H29" s="109"/>
      <c r="I29" s="109"/>
      <c r="J29" s="109"/>
      <c r="K29" s="109"/>
      <c r="L29" s="109"/>
      <c r="M29" s="109"/>
      <c r="N29" s="109"/>
      <c r="O29" s="109"/>
    </row>
    <row r="30" spans="1:18" ht="15" thickBot="1" x14ac:dyDescent="0.4">
      <c r="B30" s="54" t="s">
        <v>232</v>
      </c>
      <c r="C30" s="54"/>
      <c r="D30" s="54"/>
      <c r="E30" s="24"/>
      <c r="Q30" s="20">
        <f>IF(Q32&gt;0,Q32,Q45)</f>
        <v>0</v>
      </c>
      <c r="R30" s="11" t="s">
        <v>13</v>
      </c>
    </row>
    <row r="31" spans="1:18" ht="15" thickBot="1" x14ac:dyDescent="0.4">
      <c r="D31" s="26" t="s">
        <v>113</v>
      </c>
      <c r="E31" s="108" t="s">
        <v>46</v>
      </c>
      <c r="F31" s="108"/>
      <c r="G31" s="108"/>
      <c r="H31" s="108"/>
      <c r="I31" s="108"/>
      <c r="J31" s="108"/>
      <c r="K31" s="108"/>
      <c r="L31" s="108"/>
      <c r="M31" s="108"/>
      <c r="N31" s="108"/>
      <c r="O31" s="108"/>
    </row>
    <row r="32" spans="1:18" x14ac:dyDescent="0.35">
      <c r="E32" s="128"/>
      <c r="F32" s="108" t="s">
        <v>230</v>
      </c>
      <c r="G32" s="108"/>
      <c r="H32" s="108"/>
      <c r="I32" s="108"/>
      <c r="J32" s="108"/>
      <c r="K32" s="108"/>
      <c r="L32" s="108"/>
      <c r="M32" s="108"/>
      <c r="N32" s="108"/>
      <c r="O32" s="108"/>
      <c r="Q32" s="20">
        <f>IF(E32&gt;0,E32,E33/3.6)</f>
        <v>0</v>
      </c>
      <c r="R32" s="11" t="s">
        <v>13</v>
      </c>
    </row>
    <row r="33" spans="4:36" ht="15" thickBot="1" x14ac:dyDescent="0.4">
      <c r="E33" s="127"/>
      <c r="F33" s="108" t="s">
        <v>231</v>
      </c>
      <c r="G33" s="108"/>
      <c r="H33" s="108"/>
      <c r="I33" s="108"/>
      <c r="J33" s="108"/>
      <c r="K33" s="108"/>
      <c r="L33" s="108"/>
      <c r="M33" s="108"/>
      <c r="N33" s="108"/>
      <c r="O33" s="108"/>
    </row>
    <row r="34" spans="4:36" x14ac:dyDescent="0.35">
      <c r="F34" s="11" t="s">
        <v>33</v>
      </c>
    </row>
    <row r="35" spans="4:36" x14ac:dyDescent="0.35">
      <c r="F35" s="11" t="s">
        <v>34</v>
      </c>
    </row>
    <row r="36" spans="4:36" x14ac:dyDescent="0.35">
      <c r="G36" s="27" t="s">
        <v>26</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9"/>
    </row>
    <row r="37" spans="4:36" x14ac:dyDescent="0.35">
      <c r="G37" s="30" t="s">
        <v>27</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row>
    <row r="38" spans="4:36" x14ac:dyDescent="0.35">
      <c r="G38" s="30" t="s">
        <v>28</v>
      </c>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row>
    <row r="39" spans="4:36" x14ac:dyDescent="0.35">
      <c r="G39" s="30" t="s">
        <v>29</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row>
    <row r="40" spans="4:36" x14ac:dyDescent="0.35">
      <c r="G40" s="30" t="s">
        <v>30</v>
      </c>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row>
    <row r="41" spans="4:36" x14ac:dyDescent="0.35">
      <c r="G41" s="30" t="s">
        <v>31</v>
      </c>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row>
    <row r="42" spans="4:36" x14ac:dyDescent="0.35">
      <c r="G42" s="33" t="s">
        <v>32</v>
      </c>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row>
    <row r="43" spans="4:36" ht="15" thickBot="1" x14ac:dyDescent="0.4">
      <c r="F43" s="11" t="s">
        <v>35</v>
      </c>
    </row>
    <row r="44" spans="4:36" ht="15" thickBot="1" x14ac:dyDescent="0.4">
      <c r="D44" s="26" t="s">
        <v>113</v>
      </c>
      <c r="E44" s="108" t="s">
        <v>52</v>
      </c>
      <c r="F44" s="108"/>
      <c r="G44" s="108"/>
      <c r="H44" s="108"/>
      <c r="I44" s="108"/>
      <c r="J44" s="108"/>
      <c r="K44" s="108"/>
      <c r="L44" s="108"/>
      <c r="M44" s="108"/>
      <c r="N44" s="108"/>
      <c r="O44" s="108"/>
    </row>
    <row r="45" spans="4:36" x14ac:dyDescent="0.35">
      <c r="E45" s="128"/>
      <c r="F45" s="108" t="s">
        <v>230</v>
      </c>
      <c r="G45" s="108"/>
      <c r="H45" s="108"/>
      <c r="I45" s="108"/>
      <c r="J45" s="108"/>
      <c r="K45" s="108"/>
      <c r="L45" s="108"/>
      <c r="M45" s="108"/>
      <c r="N45" s="108"/>
      <c r="O45" s="108"/>
      <c r="Q45" s="20">
        <f>IF(E45&gt;0,E45,E46/3.6)</f>
        <v>0</v>
      </c>
      <c r="R45" s="11" t="s">
        <v>13</v>
      </c>
    </row>
    <row r="46" spans="4:36" ht="15" thickBot="1" x14ac:dyDescent="0.4">
      <c r="E46" s="127"/>
      <c r="F46" s="108" t="s">
        <v>231</v>
      </c>
      <c r="G46" s="108"/>
      <c r="H46" s="108"/>
      <c r="I46" s="108"/>
      <c r="J46" s="108"/>
      <c r="K46" s="108"/>
      <c r="L46" s="108"/>
      <c r="M46" s="108"/>
      <c r="N46" s="108"/>
      <c r="O46" s="108"/>
    </row>
    <row r="47" spans="4:36" x14ac:dyDescent="0.35">
      <c r="F47" s="36" t="s">
        <v>51</v>
      </c>
    </row>
    <row r="48" spans="4:36" x14ac:dyDescent="0.35">
      <c r="G48" s="37" t="s">
        <v>36</v>
      </c>
    </row>
    <row r="50" spans="2:18" ht="15" thickBot="1" x14ac:dyDescent="0.4">
      <c r="B50" s="54" t="s">
        <v>233</v>
      </c>
      <c r="C50" s="54"/>
      <c r="D50" s="54"/>
    </row>
    <row r="51" spans="2:18" ht="15" thickBot="1" x14ac:dyDescent="0.4">
      <c r="E51" s="123" t="s">
        <v>38</v>
      </c>
      <c r="F51" s="108" t="s">
        <v>219</v>
      </c>
      <c r="G51" s="108" t="s">
        <v>234</v>
      </c>
      <c r="H51" s="108"/>
      <c r="I51" s="108"/>
      <c r="J51" s="108"/>
      <c r="K51" s="108"/>
      <c r="L51" s="108"/>
      <c r="M51" s="108"/>
      <c r="N51" s="108"/>
      <c r="O51" s="108"/>
    </row>
    <row r="52" spans="2:18" x14ac:dyDescent="0.35">
      <c r="E52" s="108"/>
      <c r="F52" s="108" t="s">
        <v>220</v>
      </c>
      <c r="G52" s="108" t="s">
        <v>54</v>
      </c>
      <c r="H52" s="108"/>
      <c r="I52" s="108"/>
      <c r="J52" s="108"/>
      <c r="K52" s="108"/>
      <c r="L52" s="108"/>
      <c r="M52" s="108"/>
      <c r="N52" s="108"/>
      <c r="O52" s="108"/>
    </row>
    <row r="53" spans="2:18" x14ac:dyDescent="0.35">
      <c r="B53" s="54" t="s">
        <v>235</v>
      </c>
      <c r="C53" s="54"/>
      <c r="D53" s="54"/>
      <c r="Q53" s="20">
        <f>IF(Q55&gt;0,Q55,Q61)</f>
        <v>0</v>
      </c>
      <c r="R53" s="11" t="s">
        <v>13</v>
      </c>
    </row>
    <row r="54" spans="2:18" ht="15" thickBot="1" x14ac:dyDescent="0.4">
      <c r="D54" s="11" t="s">
        <v>113</v>
      </c>
      <c r="E54" s="108" t="s">
        <v>46</v>
      </c>
      <c r="F54" s="108"/>
      <c r="G54" s="108"/>
      <c r="H54" s="108"/>
      <c r="I54" s="108"/>
      <c r="J54" s="108"/>
      <c r="K54" s="108"/>
      <c r="L54" s="108"/>
      <c r="M54" s="108"/>
      <c r="N54" s="108"/>
      <c r="O54" s="108"/>
    </row>
    <row r="55" spans="2:18" x14ac:dyDescent="0.35">
      <c r="E55" s="128"/>
      <c r="F55" s="108" t="s">
        <v>236</v>
      </c>
      <c r="G55" s="108"/>
      <c r="H55" s="108"/>
      <c r="I55" s="108"/>
      <c r="J55" s="108"/>
      <c r="K55" s="108"/>
      <c r="L55" s="108"/>
      <c r="M55" s="108"/>
      <c r="N55" s="108"/>
      <c r="O55" s="108"/>
      <c r="Q55" s="20">
        <f>IF(E55&gt;0,E55,E56/3.6)</f>
        <v>0</v>
      </c>
      <c r="R55" s="11" t="s">
        <v>13</v>
      </c>
    </row>
    <row r="56" spans="2:18" ht="15" thickBot="1" x14ac:dyDescent="0.4">
      <c r="E56" s="127"/>
      <c r="F56" s="108" t="s">
        <v>237</v>
      </c>
      <c r="G56" s="108"/>
      <c r="H56" s="108"/>
      <c r="I56" s="108"/>
      <c r="J56" s="108"/>
      <c r="K56" s="108"/>
      <c r="L56" s="108"/>
      <c r="M56" s="108"/>
      <c r="N56" s="108"/>
      <c r="O56" s="108"/>
    </row>
    <row r="57" spans="2:18" x14ac:dyDescent="0.35">
      <c r="E57" s="24"/>
      <c r="F57" s="11" t="s">
        <v>34</v>
      </c>
      <c r="H57" s="24"/>
      <c r="I57" s="24"/>
      <c r="J57" s="24"/>
      <c r="K57" s="24"/>
      <c r="L57" s="24"/>
      <c r="M57" s="24"/>
      <c r="N57" s="24"/>
      <c r="O57" s="24"/>
    </row>
    <row r="58" spans="2:18" x14ac:dyDescent="0.35">
      <c r="E58" s="24"/>
      <c r="F58" s="24"/>
      <c r="G58" s="27" t="s">
        <v>55</v>
      </c>
      <c r="H58" s="28"/>
      <c r="I58" s="28"/>
      <c r="J58" s="28"/>
      <c r="K58" s="28"/>
      <c r="L58" s="28"/>
      <c r="M58" s="28"/>
      <c r="N58" s="28"/>
      <c r="O58" s="29"/>
    </row>
    <row r="59" spans="2:18" x14ac:dyDescent="0.35">
      <c r="E59" s="24"/>
      <c r="F59" s="24"/>
      <c r="G59" s="33" t="s">
        <v>56</v>
      </c>
      <c r="H59" s="34"/>
      <c r="I59" s="34"/>
      <c r="J59" s="34"/>
      <c r="K59" s="34"/>
      <c r="L59" s="34"/>
      <c r="M59" s="34"/>
      <c r="N59" s="34"/>
      <c r="O59" s="35"/>
    </row>
    <row r="60" spans="2:18" ht="15" thickBot="1" x14ac:dyDescent="0.4">
      <c r="D60" s="11" t="s">
        <v>113</v>
      </c>
      <c r="E60" s="108" t="s">
        <v>253</v>
      </c>
      <c r="F60" s="108"/>
      <c r="G60" s="108"/>
      <c r="H60" s="108"/>
      <c r="I60" s="108"/>
      <c r="J60" s="108"/>
      <c r="K60" s="108"/>
      <c r="L60" s="108"/>
      <c r="M60" s="108"/>
      <c r="N60" s="108"/>
      <c r="O60" s="108"/>
    </row>
    <row r="61" spans="2:18" x14ac:dyDescent="0.35">
      <c r="E61" s="128"/>
      <c r="F61" s="108" t="s">
        <v>236</v>
      </c>
      <c r="G61" s="108"/>
      <c r="H61" s="108"/>
      <c r="I61" s="108"/>
      <c r="J61" s="108"/>
      <c r="K61" s="108"/>
      <c r="L61" s="108"/>
      <c r="M61" s="108"/>
      <c r="N61" s="108"/>
      <c r="O61" s="108"/>
      <c r="Q61" s="20">
        <f>IF(E61&gt;0,E61,E62/3.6)</f>
        <v>0</v>
      </c>
      <c r="R61" s="11" t="s">
        <v>13</v>
      </c>
    </row>
    <row r="62" spans="2:18" ht="15" thickBot="1" x14ac:dyDescent="0.4">
      <c r="E62" s="127"/>
      <c r="F62" s="108" t="s">
        <v>237</v>
      </c>
      <c r="G62" s="108"/>
      <c r="H62" s="108"/>
      <c r="I62" s="108"/>
      <c r="J62" s="108"/>
      <c r="K62" s="108"/>
      <c r="L62" s="108"/>
      <c r="M62" s="108"/>
      <c r="N62" s="108"/>
      <c r="O62" s="108"/>
      <c r="Q62" s="24"/>
    </row>
    <row r="63" spans="2:18" ht="15" thickBot="1" x14ac:dyDescent="0.4">
      <c r="B63" s="54" t="s">
        <v>240</v>
      </c>
      <c r="C63" s="54"/>
      <c r="D63" s="54"/>
    </row>
    <row r="64" spans="2:18" ht="15" thickBot="1" x14ac:dyDescent="0.4">
      <c r="E64" s="123" t="s">
        <v>38</v>
      </c>
      <c r="F64" s="108" t="s">
        <v>219</v>
      </c>
      <c r="G64" s="108" t="s">
        <v>238</v>
      </c>
      <c r="H64" s="108"/>
      <c r="I64" s="108"/>
      <c r="J64" s="108"/>
      <c r="K64" s="108"/>
      <c r="L64" s="108"/>
      <c r="M64" s="108"/>
      <c r="N64" s="108"/>
      <c r="O64" s="108"/>
    </row>
    <row r="65" spans="1:32" x14ac:dyDescent="0.35">
      <c r="E65" s="108"/>
      <c r="F65" s="108" t="s">
        <v>220</v>
      </c>
      <c r="G65" s="108" t="s">
        <v>243</v>
      </c>
      <c r="H65" s="108"/>
      <c r="I65" s="108"/>
      <c r="J65" s="108"/>
      <c r="K65" s="108"/>
      <c r="L65" s="108"/>
      <c r="M65" s="108"/>
      <c r="N65" s="108"/>
      <c r="O65" s="108"/>
    </row>
    <row r="66" spans="1:32" x14ac:dyDescent="0.35">
      <c r="B66" s="54" t="s">
        <v>241</v>
      </c>
      <c r="C66" s="54"/>
      <c r="D66" s="54"/>
    </row>
    <row r="67" spans="1:32" x14ac:dyDescent="0.35">
      <c r="E67" s="110" t="s">
        <v>62</v>
      </c>
      <c r="F67" s="111"/>
      <c r="G67" s="111"/>
      <c r="H67" s="111"/>
      <c r="I67" s="111"/>
      <c r="J67" s="111"/>
      <c r="K67" s="111"/>
      <c r="L67" s="111"/>
      <c r="M67" s="111"/>
      <c r="N67" s="111"/>
      <c r="O67" s="111"/>
      <c r="P67" s="111"/>
      <c r="Q67" s="111"/>
      <c r="R67" s="111"/>
      <c r="S67" s="111"/>
      <c r="T67" s="111"/>
      <c r="U67" s="111"/>
      <c r="V67" s="111"/>
      <c r="W67" s="111"/>
      <c r="X67" s="112"/>
    </row>
    <row r="68" spans="1:32" x14ac:dyDescent="0.35">
      <c r="E68" s="113" t="s">
        <v>57</v>
      </c>
      <c r="F68" s="108"/>
      <c r="G68" s="108"/>
      <c r="H68" s="108"/>
      <c r="I68" s="108"/>
      <c r="J68" s="108"/>
      <c r="K68" s="108"/>
      <c r="L68" s="108"/>
      <c r="M68" s="108"/>
      <c r="N68" s="108"/>
      <c r="O68" s="108"/>
      <c r="P68" s="108"/>
      <c r="Q68" s="108"/>
      <c r="R68" s="108"/>
      <c r="S68" s="108"/>
      <c r="T68" s="108"/>
      <c r="U68" s="108"/>
      <c r="V68" s="108"/>
      <c r="W68" s="108"/>
      <c r="X68" s="114"/>
    </row>
    <row r="69" spans="1:32" x14ac:dyDescent="0.35">
      <c r="E69" s="113" t="s">
        <v>63</v>
      </c>
      <c r="F69" s="108"/>
      <c r="G69" s="108"/>
      <c r="H69" s="108"/>
      <c r="I69" s="108"/>
      <c r="J69" s="108"/>
      <c r="K69" s="108"/>
      <c r="L69" s="108"/>
      <c r="M69" s="108"/>
      <c r="N69" s="108"/>
      <c r="O69" s="108"/>
      <c r="P69" s="108"/>
      <c r="Q69" s="108"/>
      <c r="R69" s="108"/>
      <c r="S69" s="108"/>
      <c r="T69" s="108"/>
      <c r="U69" s="108"/>
      <c r="V69" s="108"/>
      <c r="W69" s="108"/>
      <c r="X69" s="114"/>
    </row>
    <row r="70" spans="1:32" x14ac:dyDescent="0.35">
      <c r="E70" s="115" t="s">
        <v>239</v>
      </c>
      <c r="F70" s="116"/>
      <c r="G70" s="116"/>
      <c r="H70" s="116"/>
      <c r="I70" s="116"/>
      <c r="J70" s="116"/>
      <c r="K70" s="116"/>
      <c r="L70" s="116"/>
      <c r="M70" s="116"/>
      <c r="N70" s="116"/>
      <c r="O70" s="116"/>
      <c r="P70" s="116"/>
      <c r="Q70" s="116"/>
      <c r="R70" s="116"/>
      <c r="S70" s="116"/>
      <c r="T70" s="116"/>
      <c r="U70" s="116"/>
      <c r="V70" s="116"/>
      <c r="W70" s="116"/>
      <c r="X70" s="117"/>
    </row>
    <row r="71" spans="1:32" ht="15" thickBot="1" x14ac:dyDescent="0.4">
      <c r="A71" s="107" t="s">
        <v>61</v>
      </c>
      <c r="B71" s="25"/>
      <c r="C71" s="25"/>
      <c r="D71" s="25"/>
    </row>
    <row r="72" spans="1:32" x14ac:dyDescent="0.35">
      <c r="A72" s="108" t="s">
        <v>223</v>
      </c>
      <c r="B72" s="108" t="s">
        <v>87</v>
      </c>
      <c r="C72" s="128"/>
      <c r="D72" s="108" t="s">
        <v>13</v>
      </c>
      <c r="Q72" s="20">
        <f>IF(C72&gt;0,C72,C73/3.6)</f>
        <v>0</v>
      </c>
      <c r="R72" s="11" t="s">
        <v>13</v>
      </c>
    </row>
    <row r="73" spans="1:32" x14ac:dyDescent="0.35">
      <c r="A73" s="108" t="s">
        <v>222</v>
      </c>
      <c r="B73" s="108"/>
      <c r="C73" s="125"/>
      <c r="D73" s="108" t="s">
        <v>58</v>
      </c>
      <c r="Q73" s="22"/>
    </row>
    <row r="74" spans="1:32" x14ac:dyDescent="0.35">
      <c r="A74" s="108"/>
      <c r="B74" s="108" t="s">
        <v>88</v>
      </c>
      <c r="C74" s="125"/>
      <c r="D74" s="108" t="s">
        <v>13</v>
      </c>
      <c r="Q74" s="20">
        <f>IF(C74&gt;0,C74,C75/3.6)</f>
        <v>0</v>
      </c>
      <c r="R74" s="11" t="s">
        <v>13</v>
      </c>
    </row>
    <row r="75" spans="1:32" x14ac:dyDescent="0.35">
      <c r="A75" s="108"/>
      <c r="B75" s="108"/>
      <c r="C75" s="125"/>
      <c r="D75" s="108" t="s">
        <v>58</v>
      </c>
      <c r="Q75" s="22"/>
    </row>
    <row r="76" spans="1:32" x14ac:dyDescent="0.35">
      <c r="A76" s="108"/>
      <c r="B76" s="108" t="s">
        <v>244</v>
      </c>
      <c r="C76" s="125"/>
      <c r="D76" s="108" t="s">
        <v>13</v>
      </c>
      <c r="Q76" s="22"/>
    </row>
    <row r="77" spans="1:32" ht="15" thickBot="1" x14ac:dyDescent="0.4">
      <c r="A77" s="108"/>
      <c r="B77" s="108"/>
      <c r="C77" s="127"/>
      <c r="D77" s="108" t="s">
        <v>58</v>
      </c>
      <c r="Q77" s="22"/>
    </row>
    <row r="78" spans="1:32" x14ac:dyDescent="0.35">
      <c r="AF78" s="23"/>
    </row>
    <row r="79" spans="1:32" ht="15" thickBot="1" x14ac:dyDescent="0.4">
      <c r="A79" s="108" t="s">
        <v>119</v>
      </c>
      <c r="B79" s="108"/>
      <c r="C79" s="108"/>
      <c r="D79" s="108"/>
      <c r="AF79" s="10"/>
    </row>
    <row r="80" spans="1:32" x14ac:dyDescent="0.35">
      <c r="A80" s="38"/>
      <c r="B80" s="38" t="s">
        <v>87</v>
      </c>
      <c r="C80" s="39">
        <f>IF(Q16&gt;0,Q16,Q30)</f>
        <v>0</v>
      </c>
      <c r="D80" s="38" t="s">
        <v>13</v>
      </c>
      <c r="P80" s="18" t="s">
        <v>87</v>
      </c>
      <c r="Q80" s="20">
        <f>IF(Q72&gt;0,Q72,C80)</f>
        <v>0</v>
      </c>
      <c r="R80" s="11" t="s">
        <v>13</v>
      </c>
      <c r="AF80" s="10"/>
    </row>
    <row r="81" spans="1:36" ht="15" thickBot="1" x14ac:dyDescent="0.4">
      <c r="A81" s="38"/>
      <c r="B81" s="38" t="s">
        <v>88</v>
      </c>
      <c r="C81" s="40">
        <f>IF(M19&gt;0,M19,Q53)</f>
        <v>0</v>
      </c>
      <c r="D81" s="38" t="s">
        <v>13</v>
      </c>
      <c r="P81" s="18" t="s">
        <v>88</v>
      </c>
      <c r="Q81" s="20">
        <f>IF(Q74&gt;0,Q74,C81)</f>
        <v>0</v>
      </c>
      <c r="R81" s="11" t="s">
        <v>13</v>
      </c>
      <c r="AF81" s="10"/>
    </row>
    <row r="83" spans="1:36" x14ac:dyDescent="0.35">
      <c r="A83" s="15" t="s">
        <v>64</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row>
    <row r="84" spans="1:36" ht="15" thickBot="1" x14ac:dyDescent="0.4">
      <c r="A84" s="107" t="s">
        <v>96</v>
      </c>
      <c r="B84" s="25"/>
      <c r="C84" s="25"/>
      <c r="D84" s="25"/>
      <c r="E84" s="25"/>
      <c r="F84" s="25"/>
      <c r="G84" s="25"/>
      <c r="H84" s="25"/>
      <c r="I84" s="25"/>
      <c r="J84" s="25"/>
      <c r="K84" s="25"/>
      <c r="L84" s="25"/>
      <c r="M84" s="25"/>
      <c r="N84" s="25"/>
    </row>
    <row r="85" spans="1:36" ht="15" thickBot="1" x14ac:dyDescent="0.4">
      <c r="A85" s="41"/>
      <c r="B85" s="109" t="s">
        <v>80</v>
      </c>
      <c r="C85" s="129" t="s">
        <v>74</v>
      </c>
      <c r="D85" s="130"/>
      <c r="E85" s="109" t="s">
        <v>81</v>
      </c>
      <c r="F85" s="129" t="s">
        <v>70</v>
      </c>
      <c r="G85" s="130"/>
      <c r="H85" s="109" t="s">
        <v>101</v>
      </c>
      <c r="I85" s="109"/>
      <c r="J85" s="109"/>
      <c r="K85" s="109"/>
      <c r="L85" s="109"/>
      <c r="M85" s="109"/>
      <c r="N85" s="109"/>
    </row>
    <row r="86" spans="1:36" x14ac:dyDescent="0.35">
      <c r="C86" s="11" t="s">
        <v>82</v>
      </c>
    </row>
    <row r="87" spans="1:36" x14ac:dyDescent="0.35">
      <c r="C87" s="11" t="s">
        <v>99</v>
      </c>
    </row>
    <row r="89" spans="1:36" x14ac:dyDescent="0.35">
      <c r="B89" s="42" t="s">
        <v>90</v>
      </c>
      <c r="C89" s="43" t="s">
        <v>78</v>
      </c>
      <c r="D89" s="43" t="s">
        <v>79</v>
      </c>
      <c r="E89" s="44" t="s">
        <v>83</v>
      </c>
      <c r="F89" s="44"/>
      <c r="G89" s="44" t="s">
        <v>84</v>
      </c>
      <c r="H89" s="44"/>
      <c r="I89" s="44" t="s">
        <v>86</v>
      </c>
      <c r="J89" s="44" t="s">
        <v>89</v>
      </c>
      <c r="K89" s="44" t="s">
        <v>95</v>
      </c>
      <c r="L89" s="44" t="s">
        <v>94</v>
      </c>
    </row>
    <row r="90" spans="1:36" x14ac:dyDescent="0.35">
      <c r="B90" s="11" t="s">
        <v>66</v>
      </c>
      <c r="C90" s="45">
        <v>31</v>
      </c>
      <c r="D90" s="45">
        <f>C90*24</f>
        <v>744</v>
      </c>
      <c r="E90" s="10">
        <f>IF(OR(VLOOKUP(B90,Masterdata!$A$1:$B$12,2,FALSE)&lt;=VLOOKUP($F$85,Masterdata!$A$1:$B$12,2,FALSE),VLOOKUP(B90,Masterdata!$A$1:$B$12,2,FALSE)&gt;=VLOOKUP($C$85,Masterdata!$A$1:$B$12,2,FALSE)),1,0)</f>
        <v>1</v>
      </c>
      <c r="F90" s="11">
        <f>IF(E90=1,D90,0)</f>
        <v>744</v>
      </c>
      <c r="G90" s="11">
        <v>401</v>
      </c>
      <c r="H90" s="11">
        <f>IF(E90=1,G90,0)</f>
        <v>401</v>
      </c>
      <c r="I90" s="46">
        <f>$Q$80/$H$102*H90</f>
        <v>0</v>
      </c>
      <c r="J90" s="46">
        <f>$Q$81/8760*D90</f>
        <v>0</v>
      </c>
      <c r="K90" s="23">
        <f>L90/D90</f>
        <v>0</v>
      </c>
      <c r="L90" s="46">
        <f>I90+J90</f>
        <v>0</v>
      </c>
    </row>
    <row r="91" spans="1:36" x14ac:dyDescent="0.35">
      <c r="B91" s="11" t="s">
        <v>67</v>
      </c>
      <c r="C91" s="45">
        <v>28</v>
      </c>
      <c r="D91" s="45">
        <f t="shared" ref="D91:D101" si="0">C91*24</f>
        <v>672</v>
      </c>
      <c r="E91" s="10">
        <f>IF(OR(VLOOKUP(B91,Masterdata!$A$1:$B$12,2,FALSE)&lt;=VLOOKUP($F$85,Masterdata!$A$1:$B$12,2,FALSE),VLOOKUP(B91,Masterdata!$A$1:$B$12,2,FALSE)&gt;=VLOOKUP($C$85,Masterdata!$A$1:$B$12,2,FALSE)),1,0)</f>
        <v>1</v>
      </c>
      <c r="F91" s="11">
        <f t="shared" ref="F91:F101" si="1">IF(E91=1,D91,0)</f>
        <v>672</v>
      </c>
      <c r="G91" s="11">
        <v>357</v>
      </c>
      <c r="H91" s="11">
        <f t="shared" ref="H91:H101" si="2">IF(E91=1,G91,0)</f>
        <v>357</v>
      </c>
      <c r="I91" s="46">
        <f t="shared" ref="I91:I101" si="3">$Q$80/$H$102*H91</f>
        <v>0</v>
      </c>
      <c r="J91" s="46">
        <f t="shared" ref="J91:J101" si="4">SUM($Q$74:$Q$75)/8760*D91</f>
        <v>0</v>
      </c>
      <c r="K91" s="23">
        <f t="shared" ref="K91:K101" si="5">L91/D91</f>
        <v>0</v>
      </c>
      <c r="L91" s="46">
        <f t="shared" ref="L91:L102" si="6">I91+J91</f>
        <v>0</v>
      </c>
    </row>
    <row r="92" spans="1:36" x14ac:dyDescent="0.35">
      <c r="B92" s="11" t="s">
        <v>68</v>
      </c>
      <c r="C92" s="45">
        <v>31</v>
      </c>
      <c r="D92" s="45">
        <f t="shared" si="0"/>
        <v>744</v>
      </c>
      <c r="E92" s="10">
        <f>IF(OR(VLOOKUP(B92,Masterdata!$A$1:$B$12,2,FALSE)&lt;=VLOOKUP($F$85,Masterdata!$A$1:$B$12,2,FALSE),VLOOKUP(B92,Masterdata!$A$1:$B$12,2,FALSE)&gt;=VLOOKUP($C$85,Masterdata!$A$1:$B$12,2,FALSE)),1,0)</f>
        <v>1</v>
      </c>
      <c r="F92" s="11">
        <f t="shared" si="1"/>
        <v>744</v>
      </c>
      <c r="G92" s="11">
        <v>298</v>
      </c>
      <c r="H92" s="11">
        <f t="shared" si="2"/>
        <v>298</v>
      </c>
      <c r="I92" s="46">
        <f t="shared" si="3"/>
        <v>0</v>
      </c>
      <c r="J92" s="46">
        <f t="shared" si="4"/>
        <v>0</v>
      </c>
      <c r="K92" s="23">
        <f t="shared" si="5"/>
        <v>0</v>
      </c>
      <c r="L92" s="46">
        <f t="shared" si="6"/>
        <v>0</v>
      </c>
    </row>
    <row r="93" spans="1:36" x14ac:dyDescent="0.35">
      <c r="B93" s="11" t="s">
        <v>69</v>
      </c>
      <c r="C93" s="45">
        <v>30</v>
      </c>
      <c r="D93" s="45">
        <f t="shared" si="0"/>
        <v>720</v>
      </c>
      <c r="E93" s="10">
        <f>IF(OR(VLOOKUP(B93,Masterdata!$A$1:$B$12,2,FALSE)&lt;=VLOOKUP($F$85,Masterdata!$A$1:$B$12,2,FALSE),VLOOKUP(B93,Masterdata!$A$1:$B$12,2,FALSE)&gt;=VLOOKUP($C$85,Masterdata!$A$1:$B$12,2,FALSE)),1,0)</f>
        <v>1</v>
      </c>
      <c r="F93" s="11">
        <f t="shared" si="1"/>
        <v>720</v>
      </c>
      <c r="G93" s="11">
        <v>196</v>
      </c>
      <c r="H93" s="11">
        <f t="shared" si="2"/>
        <v>196</v>
      </c>
      <c r="I93" s="46">
        <f t="shared" si="3"/>
        <v>0</v>
      </c>
      <c r="J93" s="46">
        <f t="shared" si="4"/>
        <v>0</v>
      </c>
      <c r="K93" s="23">
        <f t="shared" si="5"/>
        <v>0</v>
      </c>
      <c r="L93" s="46">
        <f t="shared" si="6"/>
        <v>0</v>
      </c>
    </row>
    <row r="94" spans="1:36" x14ac:dyDescent="0.35">
      <c r="B94" s="11" t="s">
        <v>70</v>
      </c>
      <c r="C94" s="45">
        <v>31</v>
      </c>
      <c r="D94" s="45">
        <f t="shared" si="0"/>
        <v>744</v>
      </c>
      <c r="E94" s="10">
        <f>IF(OR(VLOOKUP(B94,Masterdata!$A$1:$B$12,2,FALSE)&lt;=VLOOKUP($F$85,Masterdata!$A$1:$B$12,2,FALSE),VLOOKUP(B94,Masterdata!$A$1:$B$12,2,FALSE)&gt;=VLOOKUP($C$85,Masterdata!$A$1:$B$12,2,FALSE)),1,0)</f>
        <v>1</v>
      </c>
      <c r="F94" s="11">
        <f t="shared" si="1"/>
        <v>744</v>
      </c>
      <c r="G94" s="11">
        <v>99</v>
      </c>
      <c r="H94" s="11">
        <f t="shared" si="2"/>
        <v>99</v>
      </c>
      <c r="I94" s="46">
        <f t="shared" si="3"/>
        <v>0</v>
      </c>
      <c r="J94" s="46">
        <f t="shared" si="4"/>
        <v>0</v>
      </c>
      <c r="K94" s="23">
        <f t="shared" si="5"/>
        <v>0</v>
      </c>
      <c r="L94" s="46">
        <f t="shared" si="6"/>
        <v>0</v>
      </c>
    </row>
    <row r="95" spans="1:36" x14ac:dyDescent="0.35">
      <c r="B95" s="11" t="s">
        <v>71</v>
      </c>
      <c r="C95" s="45">
        <v>30</v>
      </c>
      <c r="D95" s="45">
        <f t="shared" si="0"/>
        <v>720</v>
      </c>
      <c r="E95" s="10">
        <f>IF(OR(VLOOKUP(B95,Masterdata!$A$1:$B$12,2,FALSE)&lt;=VLOOKUP($F$85,Masterdata!$A$1:$B$12,2,FALSE),VLOOKUP(B95,Masterdata!$A$1:$B$12,2,FALSE)&gt;=VLOOKUP($C$85,Masterdata!$A$1:$B$12,2,FALSE)),1,0)</f>
        <v>0</v>
      </c>
      <c r="F95" s="11">
        <f t="shared" si="1"/>
        <v>0</v>
      </c>
      <c r="G95" s="11">
        <v>42</v>
      </c>
      <c r="H95" s="11">
        <f t="shared" si="2"/>
        <v>0</v>
      </c>
      <c r="I95" s="46">
        <f t="shared" si="3"/>
        <v>0</v>
      </c>
      <c r="J95" s="46">
        <f t="shared" si="4"/>
        <v>0</v>
      </c>
      <c r="K95" s="23">
        <f t="shared" si="5"/>
        <v>0</v>
      </c>
      <c r="L95" s="46">
        <f t="shared" si="6"/>
        <v>0</v>
      </c>
    </row>
    <row r="96" spans="1:36" x14ac:dyDescent="0.35">
      <c r="B96" s="11" t="s">
        <v>72</v>
      </c>
      <c r="C96" s="45">
        <v>31</v>
      </c>
      <c r="D96" s="45">
        <f t="shared" si="0"/>
        <v>744</v>
      </c>
      <c r="E96" s="10">
        <f>IF(OR(VLOOKUP(B96,Masterdata!$A$1:$B$12,2,FALSE)&lt;=VLOOKUP($F$85,Masterdata!$A$1:$B$12,2,FALSE),VLOOKUP(B96,Masterdata!$A$1:$B$12,2,FALSE)&gt;=VLOOKUP($C$85,Masterdata!$A$1:$B$12,2,FALSE)),1,0)</f>
        <v>0</v>
      </c>
      <c r="F96" s="11">
        <f t="shared" si="1"/>
        <v>0</v>
      </c>
      <c r="G96" s="11">
        <v>13</v>
      </c>
      <c r="H96" s="11">
        <f t="shared" si="2"/>
        <v>0</v>
      </c>
      <c r="I96" s="46">
        <f t="shared" si="3"/>
        <v>0</v>
      </c>
      <c r="J96" s="46">
        <f t="shared" si="4"/>
        <v>0</v>
      </c>
      <c r="K96" s="23">
        <f t="shared" si="5"/>
        <v>0</v>
      </c>
      <c r="L96" s="46">
        <f t="shared" si="6"/>
        <v>0</v>
      </c>
    </row>
    <row r="97" spans="1:36" x14ac:dyDescent="0.35">
      <c r="B97" s="11" t="s">
        <v>73</v>
      </c>
      <c r="C97" s="45">
        <v>31</v>
      </c>
      <c r="D97" s="45">
        <f t="shared" si="0"/>
        <v>744</v>
      </c>
      <c r="E97" s="10">
        <f>IF(OR(VLOOKUP(B97,Masterdata!$A$1:$B$12,2,FALSE)&lt;=VLOOKUP($F$85,Masterdata!$A$1:$B$12,2,FALSE),VLOOKUP(B97,Masterdata!$A$1:$B$12,2,FALSE)&gt;=VLOOKUP($C$85,Masterdata!$A$1:$B$12,2,FALSE)),1,0)</f>
        <v>0</v>
      </c>
      <c r="F97" s="11">
        <f t="shared" si="1"/>
        <v>0</v>
      </c>
      <c r="G97" s="11">
        <v>14</v>
      </c>
      <c r="H97" s="11">
        <f t="shared" si="2"/>
        <v>0</v>
      </c>
      <c r="I97" s="46">
        <f t="shared" si="3"/>
        <v>0</v>
      </c>
      <c r="J97" s="46">
        <f t="shared" si="4"/>
        <v>0</v>
      </c>
      <c r="K97" s="23">
        <f t="shared" si="5"/>
        <v>0</v>
      </c>
      <c r="L97" s="46">
        <f t="shared" si="6"/>
        <v>0</v>
      </c>
    </row>
    <row r="98" spans="1:36" x14ac:dyDescent="0.35">
      <c r="B98" s="11" t="s">
        <v>74</v>
      </c>
      <c r="C98" s="45">
        <v>30</v>
      </c>
      <c r="D98" s="45">
        <f t="shared" si="0"/>
        <v>720</v>
      </c>
      <c r="E98" s="10">
        <f>IF(OR(VLOOKUP(B98,Masterdata!$A$1:$B$12,2,FALSE)&lt;=VLOOKUP($F$85,Masterdata!$A$1:$B$12,2,FALSE),VLOOKUP(B98,Masterdata!$A$1:$B$12,2,FALSE)&gt;=VLOOKUP($C$85,Masterdata!$A$1:$B$12,2,FALSE)),1,0)</f>
        <v>1</v>
      </c>
      <c r="F98" s="11">
        <f t="shared" si="1"/>
        <v>720</v>
      </c>
      <c r="G98" s="11">
        <v>62</v>
      </c>
      <c r="H98" s="11">
        <f t="shared" si="2"/>
        <v>62</v>
      </c>
      <c r="I98" s="46">
        <f t="shared" si="3"/>
        <v>0</v>
      </c>
      <c r="J98" s="46">
        <f t="shared" si="4"/>
        <v>0</v>
      </c>
      <c r="K98" s="23">
        <f t="shared" si="5"/>
        <v>0</v>
      </c>
      <c r="L98" s="46">
        <f t="shared" si="6"/>
        <v>0</v>
      </c>
    </row>
    <row r="99" spans="1:36" x14ac:dyDescent="0.35">
      <c r="B99" s="11" t="s">
        <v>75</v>
      </c>
      <c r="C99" s="45">
        <v>31</v>
      </c>
      <c r="D99" s="45">
        <f t="shared" si="0"/>
        <v>744</v>
      </c>
      <c r="E99" s="10">
        <f>IF(OR(VLOOKUP(B99,Masterdata!$A$1:$B$12,2,FALSE)&lt;=VLOOKUP($F$85,Masterdata!$A$1:$B$12,2,FALSE),VLOOKUP(B99,Masterdata!$A$1:$B$12,2,FALSE)&gt;=VLOOKUP($C$85,Masterdata!$A$1:$B$12,2,FALSE)),1,0)</f>
        <v>1</v>
      </c>
      <c r="F99" s="11">
        <f t="shared" si="1"/>
        <v>744</v>
      </c>
      <c r="G99" s="11">
        <v>159</v>
      </c>
      <c r="H99" s="11">
        <f t="shared" si="2"/>
        <v>159</v>
      </c>
      <c r="I99" s="46">
        <f t="shared" si="3"/>
        <v>0</v>
      </c>
      <c r="J99" s="46">
        <f t="shared" si="4"/>
        <v>0</v>
      </c>
      <c r="K99" s="23">
        <f t="shared" si="5"/>
        <v>0</v>
      </c>
      <c r="L99" s="46">
        <f t="shared" si="6"/>
        <v>0</v>
      </c>
    </row>
    <row r="100" spans="1:36" x14ac:dyDescent="0.35">
      <c r="B100" s="11" t="s">
        <v>76</v>
      </c>
      <c r="C100" s="45">
        <v>30</v>
      </c>
      <c r="D100" s="45">
        <f t="shared" si="0"/>
        <v>720</v>
      </c>
      <c r="E100" s="10">
        <f>IF(OR(VLOOKUP(B100,Masterdata!$A$1:$B$12,2,FALSE)&lt;=VLOOKUP($F$85,Masterdata!$A$1:$B$12,2,FALSE),VLOOKUP(B100,Masterdata!$A$1:$B$12,2,FALSE)&gt;=VLOOKUP($C$85,Masterdata!$A$1:$B$12,2,FALSE)),1,0)</f>
        <v>1</v>
      </c>
      <c r="F100" s="11">
        <f t="shared" si="1"/>
        <v>720</v>
      </c>
      <c r="G100" s="11">
        <v>281</v>
      </c>
      <c r="H100" s="11">
        <f t="shared" si="2"/>
        <v>281</v>
      </c>
      <c r="I100" s="46">
        <f t="shared" si="3"/>
        <v>0</v>
      </c>
      <c r="J100" s="46">
        <f t="shared" si="4"/>
        <v>0</v>
      </c>
      <c r="K100" s="23">
        <f t="shared" si="5"/>
        <v>0</v>
      </c>
      <c r="L100" s="46">
        <f t="shared" si="6"/>
        <v>0</v>
      </c>
    </row>
    <row r="101" spans="1:36" x14ac:dyDescent="0.35">
      <c r="B101" s="11" t="s">
        <v>77</v>
      </c>
      <c r="C101" s="45">
        <v>31</v>
      </c>
      <c r="D101" s="45">
        <f t="shared" si="0"/>
        <v>744</v>
      </c>
      <c r="E101" s="10">
        <f>IF(OR(VLOOKUP(B101,Masterdata!$A$1:$B$12,2,FALSE)&lt;=VLOOKUP($F$85,Masterdata!$A$1:$B$12,2,FALSE),VLOOKUP(B101,Masterdata!$A$1:$B$12,2,FALSE)&gt;=VLOOKUP($C$85,Masterdata!$A$1:$B$12,2,FALSE)),1,0)</f>
        <v>1</v>
      </c>
      <c r="F101" s="11">
        <f t="shared" si="1"/>
        <v>744</v>
      </c>
      <c r="G101" s="11">
        <v>379</v>
      </c>
      <c r="H101" s="11">
        <f t="shared" si="2"/>
        <v>379</v>
      </c>
      <c r="I101" s="46">
        <f t="shared" si="3"/>
        <v>0</v>
      </c>
      <c r="J101" s="46">
        <f t="shared" si="4"/>
        <v>0</v>
      </c>
      <c r="K101" s="23">
        <f t="shared" si="5"/>
        <v>0</v>
      </c>
      <c r="L101" s="46">
        <f t="shared" si="6"/>
        <v>0</v>
      </c>
    </row>
    <row r="102" spans="1:36" x14ac:dyDescent="0.35">
      <c r="B102" s="11" t="s">
        <v>85</v>
      </c>
      <c r="C102" s="45">
        <f>SUM(C90:C101)</f>
        <v>365</v>
      </c>
      <c r="D102" s="45">
        <f>SUM(D90:D101)</f>
        <v>8760</v>
      </c>
      <c r="F102" s="11">
        <f>SUM(F90:F101)</f>
        <v>6552</v>
      </c>
      <c r="H102" s="11">
        <f>SUM(H90:H101)</f>
        <v>2232</v>
      </c>
      <c r="I102" s="46">
        <f>SUM(I90:I101)</f>
        <v>0</v>
      </c>
      <c r="J102" s="46">
        <f>SUM(J90:J101)</f>
        <v>0</v>
      </c>
      <c r="K102" s="46"/>
      <c r="L102" s="46">
        <f t="shared" si="6"/>
        <v>0</v>
      </c>
    </row>
    <row r="104" spans="1:36" x14ac:dyDescent="0.35">
      <c r="A104" s="107" t="s">
        <v>97</v>
      </c>
      <c r="B104" s="25"/>
      <c r="C104" s="25"/>
      <c r="D104" s="25"/>
      <c r="E104" s="25"/>
      <c r="F104" s="25"/>
      <c r="G104" s="25"/>
      <c r="H104" s="25"/>
      <c r="I104" s="25"/>
      <c r="J104" s="25"/>
      <c r="K104" s="25"/>
      <c r="L104" s="25"/>
      <c r="M104" s="25"/>
      <c r="N104" s="25"/>
    </row>
    <row r="105" spans="1:36" x14ac:dyDescent="0.35">
      <c r="B105" s="108" t="s">
        <v>98</v>
      </c>
      <c r="C105" s="108"/>
      <c r="D105" s="108"/>
      <c r="E105" s="108"/>
      <c r="F105" s="108"/>
      <c r="G105" s="108"/>
      <c r="H105" s="108"/>
      <c r="I105" s="108"/>
      <c r="J105" s="108"/>
      <c r="K105" s="108"/>
      <c r="L105" s="108"/>
      <c r="M105" s="108"/>
      <c r="N105" s="108"/>
      <c r="O105" s="24"/>
      <c r="P105" s="24"/>
      <c r="Q105" s="24"/>
      <c r="R105" s="24"/>
      <c r="S105" s="24"/>
      <c r="T105" s="24"/>
    </row>
    <row r="106" spans="1:36" x14ac:dyDescent="0.35">
      <c r="B106" s="108" t="s">
        <v>224</v>
      </c>
      <c r="C106" s="108"/>
      <c r="D106" s="108"/>
      <c r="E106" s="108"/>
      <c r="F106" s="108"/>
      <c r="G106" s="108"/>
      <c r="H106" s="108"/>
      <c r="I106" s="108"/>
      <c r="J106" s="108"/>
      <c r="K106" s="108"/>
      <c r="L106" s="108"/>
      <c r="M106" s="108"/>
      <c r="N106" s="108"/>
      <c r="O106" s="24"/>
      <c r="P106" s="24"/>
      <c r="Q106" s="24"/>
      <c r="R106" s="24"/>
      <c r="S106" s="24"/>
      <c r="T106" s="24"/>
    </row>
    <row r="107" spans="1:36" x14ac:dyDescent="0.35">
      <c r="B107" s="108" t="s">
        <v>100</v>
      </c>
      <c r="C107" s="108"/>
      <c r="D107" s="108"/>
      <c r="E107" s="108"/>
      <c r="F107" s="108"/>
      <c r="G107" s="108"/>
      <c r="H107" s="108"/>
      <c r="I107" s="108"/>
      <c r="J107" s="108"/>
      <c r="K107" s="108"/>
      <c r="L107" s="108"/>
      <c r="M107" s="108"/>
      <c r="N107" s="108"/>
      <c r="O107" s="24"/>
      <c r="P107" s="24"/>
      <c r="Q107" s="24"/>
      <c r="R107" s="24"/>
      <c r="S107" s="24"/>
      <c r="T107" s="24"/>
    </row>
    <row r="109" spans="1:36" x14ac:dyDescent="0.35">
      <c r="B109" s="10"/>
      <c r="C109" s="13"/>
    </row>
    <row r="110" spans="1:36" x14ac:dyDescent="0.35">
      <c r="A110" s="15" t="s">
        <v>65</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row>
    <row r="111" spans="1:36" x14ac:dyDescent="0.35">
      <c r="A111" s="118" t="s">
        <v>102</v>
      </c>
      <c r="B111" s="118"/>
      <c r="C111" s="118"/>
      <c r="D111" s="118"/>
      <c r="E111" s="118"/>
      <c r="F111" s="118"/>
      <c r="G111" s="118"/>
      <c r="H111" s="118"/>
      <c r="I111" s="118"/>
      <c r="J111" s="118"/>
      <c r="K111" s="118"/>
      <c r="L111" s="118"/>
      <c r="M111" s="118"/>
      <c r="N111" s="25"/>
    </row>
    <row r="112" spans="1:36" x14ac:dyDescent="0.35">
      <c r="A112" s="108" t="s">
        <v>250</v>
      </c>
      <c r="B112" s="108"/>
      <c r="C112" s="108"/>
      <c r="D112" s="108"/>
      <c r="E112" s="108"/>
      <c r="F112" s="108"/>
      <c r="G112" s="108"/>
      <c r="H112" s="108"/>
      <c r="I112" s="108"/>
      <c r="J112" s="108"/>
      <c r="K112" s="108"/>
      <c r="L112" s="108"/>
      <c r="M112" s="108"/>
      <c r="N112" s="109"/>
    </row>
    <row r="113" spans="2:15" x14ac:dyDescent="0.35">
      <c r="B113" s="8" t="s">
        <v>93</v>
      </c>
      <c r="C113" s="9" t="s">
        <v>91</v>
      </c>
      <c r="D113" s="8" t="s">
        <v>79</v>
      </c>
      <c r="E113" s="8" t="s">
        <v>92</v>
      </c>
      <c r="F113" s="8"/>
      <c r="G113" s="8" t="s">
        <v>91</v>
      </c>
      <c r="H113" s="10"/>
      <c r="O113" s="23"/>
    </row>
    <row r="114" spans="2:15" x14ac:dyDescent="0.35">
      <c r="B114" s="10" t="str">
        <f>VLOOKUP(1,Masterdata!$R$42:$S$53,2,FALSE)</f>
        <v>Januari</v>
      </c>
      <c r="C114" s="12">
        <f>VLOOKUP($B114,$B$90:$L$101,10,FALSE)</f>
        <v>0</v>
      </c>
      <c r="D114" s="10">
        <f t="shared" ref="D114:D125" si="7">VLOOKUP(B114,$B$90:$K$101,3,FALSE)</f>
        <v>744</v>
      </c>
      <c r="E114" s="10">
        <f>D114</f>
        <v>744</v>
      </c>
      <c r="F114" s="12"/>
      <c r="G114" s="12">
        <f t="shared" ref="G114:G125" si="8">VLOOKUP(B114,$B$90:$L$101,10,FALSE)</f>
        <v>0</v>
      </c>
      <c r="H114" s="10"/>
      <c r="O114" s="23"/>
    </row>
    <row r="115" spans="2:15" x14ac:dyDescent="0.35">
      <c r="B115" s="10" t="str">
        <f>VLOOKUP(2,Masterdata!$R$42:$S$53,2,FALSE)</f>
        <v>Februari</v>
      </c>
      <c r="C115" s="12">
        <f t="shared" ref="C115:C125" si="9">VLOOKUP($B115,$B$90:$K$101,10,FALSE)</f>
        <v>0</v>
      </c>
      <c r="D115" s="10">
        <f t="shared" si="7"/>
        <v>672</v>
      </c>
      <c r="E115" s="10">
        <f>E114+D115</f>
        <v>1416</v>
      </c>
      <c r="F115" s="12"/>
      <c r="G115" s="12">
        <f t="shared" si="8"/>
        <v>0</v>
      </c>
      <c r="H115" s="10"/>
      <c r="O115" s="23"/>
    </row>
    <row r="116" spans="2:15" x14ac:dyDescent="0.35">
      <c r="B116" s="10" t="str">
        <f>VLOOKUP(3,Masterdata!$R$42:$S$53,2,FALSE)</f>
        <v>Maart</v>
      </c>
      <c r="C116" s="12">
        <f t="shared" si="9"/>
        <v>0</v>
      </c>
      <c r="D116" s="10">
        <f t="shared" si="7"/>
        <v>744</v>
      </c>
      <c r="E116" s="10">
        <f t="shared" ref="E116:E125" si="10">E115+D116</f>
        <v>2160</v>
      </c>
      <c r="F116" s="12"/>
      <c r="G116" s="12">
        <f t="shared" si="8"/>
        <v>0</v>
      </c>
      <c r="H116" s="10"/>
      <c r="O116" s="23"/>
    </row>
    <row r="117" spans="2:15" x14ac:dyDescent="0.35">
      <c r="B117" s="10" t="str">
        <f>VLOOKUP(4,Masterdata!$R$42:$S$53,2,FALSE)</f>
        <v>April</v>
      </c>
      <c r="C117" s="12">
        <f t="shared" si="9"/>
        <v>0</v>
      </c>
      <c r="D117" s="10">
        <f t="shared" si="7"/>
        <v>720</v>
      </c>
      <c r="E117" s="10">
        <f t="shared" si="10"/>
        <v>2880</v>
      </c>
      <c r="F117" s="12"/>
      <c r="G117" s="12">
        <f t="shared" si="8"/>
        <v>0</v>
      </c>
      <c r="H117" s="10"/>
    </row>
    <row r="118" spans="2:15" x14ac:dyDescent="0.35">
      <c r="B118" s="10" t="str">
        <f>VLOOKUP(5,Masterdata!$R$42:$S$53,2,FALSE)</f>
        <v>Mei</v>
      </c>
      <c r="C118" s="12">
        <f t="shared" si="9"/>
        <v>0</v>
      </c>
      <c r="D118" s="10">
        <f t="shared" si="7"/>
        <v>744</v>
      </c>
      <c r="E118" s="10">
        <f t="shared" si="10"/>
        <v>3624</v>
      </c>
      <c r="F118" s="12"/>
      <c r="G118" s="12">
        <f t="shared" si="8"/>
        <v>0</v>
      </c>
      <c r="H118" s="10"/>
    </row>
    <row r="119" spans="2:15" x14ac:dyDescent="0.35">
      <c r="B119" s="10" t="str">
        <f>VLOOKUP(6,Masterdata!$R$42:$S$53,2,FALSE)</f>
        <v>Juni</v>
      </c>
      <c r="C119" s="12">
        <f t="shared" si="9"/>
        <v>0</v>
      </c>
      <c r="D119" s="10">
        <f t="shared" si="7"/>
        <v>720</v>
      </c>
      <c r="E119" s="10">
        <f t="shared" si="10"/>
        <v>4344</v>
      </c>
      <c r="F119" s="12"/>
      <c r="G119" s="12">
        <f t="shared" si="8"/>
        <v>0</v>
      </c>
      <c r="H119" s="10"/>
    </row>
    <row r="120" spans="2:15" x14ac:dyDescent="0.35">
      <c r="B120" s="10" t="str">
        <f>VLOOKUP(7,Masterdata!$R$42:$S$53,2,FALSE)</f>
        <v>Juli</v>
      </c>
      <c r="C120" s="12">
        <f t="shared" si="9"/>
        <v>0</v>
      </c>
      <c r="D120" s="10">
        <f t="shared" si="7"/>
        <v>744</v>
      </c>
      <c r="E120" s="10">
        <f t="shared" si="10"/>
        <v>5088</v>
      </c>
      <c r="F120" s="12"/>
      <c r="G120" s="12">
        <f t="shared" si="8"/>
        <v>0</v>
      </c>
      <c r="H120" s="10"/>
    </row>
    <row r="121" spans="2:15" x14ac:dyDescent="0.35">
      <c r="B121" s="10" t="str">
        <f>VLOOKUP(8,Masterdata!$R$42:$S$53,2,FALSE)</f>
        <v>Augustus</v>
      </c>
      <c r="C121" s="12">
        <f t="shared" si="9"/>
        <v>0</v>
      </c>
      <c r="D121" s="10">
        <f t="shared" si="7"/>
        <v>744</v>
      </c>
      <c r="E121" s="10">
        <f t="shared" si="10"/>
        <v>5832</v>
      </c>
      <c r="F121" s="12"/>
      <c r="G121" s="12">
        <f t="shared" si="8"/>
        <v>0</v>
      </c>
      <c r="H121" s="10"/>
    </row>
    <row r="122" spans="2:15" x14ac:dyDescent="0.35">
      <c r="B122" s="10" t="str">
        <f>VLOOKUP(9,Masterdata!$R$42:$S$53,2,FALSE)</f>
        <v>September</v>
      </c>
      <c r="C122" s="12">
        <f t="shared" si="9"/>
        <v>0</v>
      </c>
      <c r="D122" s="10">
        <f t="shared" si="7"/>
        <v>720</v>
      </c>
      <c r="E122" s="10">
        <f t="shared" si="10"/>
        <v>6552</v>
      </c>
      <c r="F122" s="12"/>
      <c r="G122" s="12">
        <f t="shared" si="8"/>
        <v>0</v>
      </c>
      <c r="H122" s="10"/>
    </row>
    <row r="123" spans="2:15" x14ac:dyDescent="0.35">
      <c r="B123" s="10" t="str">
        <f>VLOOKUP(10,Masterdata!$R$42:$S$53,2,FALSE)</f>
        <v>Oktober</v>
      </c>
      <c r="C123" s="12">
        <f t="shared" si="9"/>
        <v>0</v>
      </c>
      <c r="D123" s="10">
        <f t="shared" si="7"/>
        <v>744</v>
      </c>
      <c r="E123" s="10">
        <f t="shared" si="10"/>
        <v>7296</v>
      </c>
      <c r="F123" s="12"/>
      <c r="G123" s="12">
        <f t="shared" si="8"/>
        <v>0</v>
      </c>
      <c r="H123" s="10"/>
    </row>
    <row r="124" spans="2:15" x14ac:dyDescent="0.35">
      <c r="B124" s="10" t="str">
        <f>VLOOKUP(11,Masterdata!$R$42:$S$53,2,FALSE)</f>
        <v>November</v>
      </c>
      <c r="C124" s="12">
        <f t="shared" si="9"/>
        <v>0</v>
      </c>
      <c r="D124" s="10">
        <f t="shared" si="7"/>
        <v>720</v>
      </c>
      <c r="E124" s="10">
        <f t="shared" si="10"/>
        <v>8016</v>
      </c>
      <c r="F124" s="12"/>
      <c r="G124" s="12">
        <f t="shared" si="8"/>
        <v>0</v>
      </c>
      <c r="H124" s="10"/>
    </row>
    <row r="125" spans="2:15" x14ac:dyDescent="0.35">
      <c r="B125" s="10" t="str">
        <f>VLOOKUP(12,Masterdata!$R$42:$S$53,2,FALSE)</f>
        <v>December</v>
      </c>
      <c r="C125" s="12">
        <f t="shared" si="9"/>
        <v>0</v>
      </c>
      <c r="D125" s="10">
        <f t="shared" si="7"/>
        <v>744</v>
      </c>
      <c r="E125" s="10">
        <f t="shared" si="10"/>
        <v>8760</v>
      </c>
      <c r="F125" s="12"/>
      <c r="G125" s="12">
        <f t="shared" si="8"/>
        <v>0</v>
      </c>
      <c r="H125" s="10"/>
    </row>
    <row r="126" spans="2:15" x14ac:dyDescent="0.35">
      <c r="B126" s="10"/>
      <c r="C126" s="13">
        <f>SUM(C114:C125)</f>
        <v>0</v>
      </c>
      <c r="D126" s="10">
        <f>SUM(D114:D125)</f>
        <v>8760</v>
      </c>
      <c r="E126" s="10"/>
      <c r="F126" s="12"/>
      <c r="G126" s="10"/>
    </row>
    <row r="131" spans="1:36" x14ac:dyDescent="0.35">
      <c r="A131" s="118" t="s">
        <v>211</v>
      </c>
      <c r="B131" s="118"/>
      <c r="C131" s="118"/>
      <c r="D131" s="118"/>
      <c r="E131" s="118"/>
      <c r="F131" s="118"/>
      <c r="G131" s="118"/>
      <c r="H131" s="25"/>
      <c r="I131" s="25"/>
      <c r="J131" s="25"/>
      <c r="K131" s="25"/>
      <c r="L131" s="25"/>
      <c r="M131" s="25"/>
      <c r="N131" s="25"/>
    </row>
    <row r="132" spans="1:36" x14ac:dyDescent="0.35">
      <c r="A132" s="108" t="s">
        <v>225</v>
      </c>
      <c r="B132" s="108"/>
      <c r="C132" s="108"/>
      <c r="D132" s="108"/>
      <c r="E132" s="108"/>
      <c r="F132" s="108"/>
      <c r="G132" s="108"/>
      <c r="H132" s="108"/>
      <c r="I132" s="108"/>
      <c r="J132" s="108"/>
      <c r="K132" s="108"/>
      <c r="L132" s="108"/>
      <c r="M132" s="108"/>
      <c r="N132" s="108"/>
    </row>
    <row r="133" spans="1:36" x14ac:dyDescent="0.35">
      <c r="A133" s="108" t="s">
        <v>104</v>
      </c>
      <c r="B133" s="108"/>
      <c r="C133" s="108"/>
      <c r="D133" s="108"/>
      <c r="E133" s="108"/>
      <c r="F133" s="108"/>
      <c r="G133" s="108"/>
      <c r="H133" s="108"/>
      <c r="I133" s="108"/>
      <c r="J133" s="108"/>
      <c r="K133" s="108"/>
      <c r="L133" s="108"/>
      <c r="M133" s="108"/>
      <c r="N133" s="108"/>
    </row>
    <row r="136" spans="1:36" x14ac:dyDescent="0.35">
      <c r="A136" s="15" t="s">
        <v>103</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x14ac:dyDescent="0.35">
      <c r="A137" s="118" t="s">
        <v>214</v>
      </c>
      <c r="B137" s="118"/>
      <c r="C137" s="118"/>
      <c r="D137" s="118"/>
      <c r="E137" s="118"/>
      <c r="F137" s="118"/>
      <c r="G137" s="119"/>
      <c r="H137" s="25"/>
      <c r="I137" s="25"/>
      <c r="J137" s="25"/>
      <c r="K137" s="25"/>
      <c r="L137" s="25"/>
      <c r="M137" s="25"/>
      <c r="N137" s="25"/>
    </row>
    <row r="138" spans="1:36" ht="15" thickBot="1" x14ac:dyDescent="0.4">
      <c r="A138" s="108"/>
      <c r="B138" s="108" t="s">
        <v>212</v>
      </c>
      <c r="C138" s="108"/>
      <c r="D138" s="108"/>
      <c r="E138" s="108"/>
      <c r="F138" s="108"/>
      <c r="G138" s="120"/>
      <c r="H138" s="108"/>
      <c r="I138" s="108"/>
      <c r="J138" s="108"/>
      <c r="K138" s="108"/>
      <c r="L138" s="108"/>
      <c r="M138" s="108"/>
      <c r="N138" s="108"/>
    </row>
    <row r="139" spans="1:36" ht="15" thickBot="1" x14ac:dyDescent="0.4">
      <c r="A139" s="108"/>
      <c r="B139" s="108" t="s">
        <v>146</v>
      </c>
      <c r="C139" s="123">
        <v>3500</v>
      </c>
      <c r="D139" s="108" t="s">
        <v>11</v>
      </c>
      <c r="E139" s="108"/>
      <c r="F139" s="108"/>
      <c r="G139" s="108"/>
      <c r="H139" s="109"/>
      <c r="I139" s="109"/>
      <c r="J139" s="109"/>
      <c r="K139" s="109"/>
      <c r="L139" s="109"/>
      <c r="M139" s="109"/>
      <c r="N139" s="109"/>
    </row>
    <row r="140" spans="1:36" ht="15" thickBot="1" x14ac:dyDescent="0.4">
      <c r="A140" s="38"/>
      <c r="B140" s="38" t="s">
        <v>7</v>
      </c>
      <c r="C140" s="47">
        <f>VLOOKUP(C139,Masterdata!C1:D13,2,TRUE)</f>
        <v>0</v>
      </c>
      <c r="D140" s="38" t="s">
        <v>12</v>
      </c>
      <c r="E140" s="38"/>
      <c r="F140" s="38"/>
      <c r="G140" s="38"/>
      <c r="H140" s="48"/>
      <c r="I140" s="48"/>
      <c r="J140" s="48"/>
      <c r="K140" s="48"/>
      <c r="L140" s="48"/>
      <c r="M140" s="48"/>
      <c r="N140" s="48"/>
    </row>
    <row r="142" spans="1:36" x14ac:dyDescent="0.35">
      <c r="A142" s="118" t="s">
        <v>213</v>
      </c>
      <c r="B142" s="118"/>
      <c r="C142" s="118"/>
      <c r="D142" s="118"/>
      <c r="E142" s="118"/>
      <c r="F142" s="118"/>
      <c r="G142" s="118"/>
      <c r="H142" s="118"/>
      <c r="I142" s="118"/>
      <c r="J142" s="118"/>
      <c r="K142" s="118"/>
      <c r="L142" s="118"/>
      <c r="M142" s="118"/>
      <c r="N142" s="118"/>
    </row>
    <row r="143" spans="1:36" ht="15" thickBot="1" x14ac:dyDescent="0.4">
      <c r="A143" s="108" t="s">
        <v>226</v>
      </c>
      <c r="B143" s="108"/>
      <c r="C143" s="108"/>
      <c r="D143" s="108"/>
      <c r="E143" s="108"/>
      <c r="F143" s="108"/>
      <c r="G143" s="108"/>
      <c r="H143" s="108"/>
      <c r="I143" s="108"/>
      <c r="J143" s="108"/>
      <c r="K143" s="108"/>
      <c r="L143" s="108"/>
      <c r="M143" s="108"/>
      <c r="N143" s="108"/>
    </row>
    <row r="144" spans="1:36" ht="15" thickBot="1" x14ac:dyDescent="0.4">
      <c r="A144" s="108" t="s">
        <v>106</v>
      </c>
      <c r="B144" s="108"/>
      <c r="C144" s="123"/>
      <c r="D144" s="108" t="s">
        <v>12</v>
      </c>
      <c r="E144" s="108"/>
      <c r="F144" s="108"/>
      <c r="G144" s="108"/>
      <c r="H144" s="108"/>
      <c r="I144" s="108"/>
      <c r="J144" s="108"/>
      <c r="K144" s="108"/>
      <c r="L144" s="108"/>
      <c r="M144" s="108"/>
      <c r="N144" s="108"/>
    </row>
    <row r="146" spans="1:36" x14ac:dyDescent="0.35">
      <c r="A146" s="15" t="s">
        <v>105</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1:36" x14ac:dyDescent="0.35">
      <c r="A147" s="118" t="s">
        <v>215</v>
      </c>
      <c r="B147" s="118"/>
      <c r="C147" s="118"/>
      <c r="D147" s="118"/>
      <c r="E147" s="118"/>
      <c r="F147" s="118"/>
      <c r="G147" s="118"/>
      <c r="H147" s="118"/>
      <c r="I147" s="118"/>
      <c r="J147" s="118"/>
      <c r="K147" s="118"/>
      <c r="L147" s="25"/>
      <c r="M147" s="25"/>
      <c r="N147" s="25"/>
    </row>
    <row r="148" spans="1:36" ht="15" thickBot="1" x14ac:dyDescent="0.4">
      <c r="A148" s="108" t="s">
        <v>216</v>
      </c>
      <c r="B148" s="108"/>
      <c r="C148" s="108"/>
      <c r="D148" s="108"/>
      <c r="E148" s="108"/>
      <c r="F148" s="108"/>
      <c r="G148" s="108"/>
      <c r="H148" s="108"/>
      <c r="I148" s="108"/>
      <c r="J148" s="108"/>
      <c r="K148" s="108"/>
      <c r="L148" s="109"/>
      <c r="M148" s="109"/>
      <c r="N148" s="109"/>
    </row>
    <row r="149" spans="1:36" ht="15" thickBot="1" x14ac:dyDescent="0.4">
      <c r="A149" s="38"/>
      <c r="B149" s="38"/>
      <c r="C149" s="49">
        <f>C114</f>
        <v>0</v>
      </c>
      <c r="D149" s="38" t="s">
        <v>12</v>
      </c>
      <c r="E149" s="38"/>
      <c r="F149" s="38"/>
      <c r="G149" s="38"/>
      <c r="H149" s="38"/>
      <c r="I149" s="38"/>
      <c r="J149" s="38"/>
      <c r="K149" s="38"/>
      <c r="L149" s="48"/>
      <c r="M149" s="48"/>
      <c r="N149" s="48"/>
    </row>
    <row r="150" spans="1:36" x14ac:dyDescent="0.35">
      <c r="A150" s="118" t="s">
        <v>218</v>
      </c>
      <c r="B150" s="118"/>
      <c r="C150" s="118"/>
      <c r="D150" s="118"/>
      <c r="E150" s="118"/>
      <c r="F150" s="118"/>
      <c r="G150" s="118"/>
      <c r="H150" s="118"/>
      <c r="I150" s="118"/>
      <c r="J150" s="118"/>
      <c r="K150" s="118"/>
      <c r="L150" s="25"/>
      <c r="M150" s="25"/>
      <c r="N150" s="25"/>
    </row>
    <row r="151" spans="1:36" ht="15" thickBot="1" x14ac:dyDescent="0.4">
      <c r="A151" s="108" t="s">
        <v>217</v>
      </c>
      <c r="B151" s="108"/>
      <c r="C151" s="108"/>
      <c r="D151" s="108"/>
      <c r="E151" s="108"/>
      <c r="F151" s="108"/>
      <c r="G151" s="108"/>
      <c r="H151" s="108"/>
      <c r="I151" s="108"/>
      <c r="J151" s="108"/>
      <c r="K151" s="108"/>
      <c r="L151" s="109"/>
      <c r="M151" s="109"/>
      <c r="N151" s="109"/>
    </row>
    <row r="152" spans="1:36" ht="15" thickBot="1" x14ac:dyDescent="0.4">
      <c r="A152" s="109" t="s">
        <v>107</v>
      </c>
      <c r="B152" s="109"/>
      <c r="C152" s="123"/>
      <c r="D152" s="109" t="s">
        <v>12</v>
      </c>
      <c r="E152" s="109"/>
      <c r="F152" s="109"/>
      <c r="G152" s="109"/>
      <c r="H152" s="109"/>
      <c r="I152" s="109"/>
      <c r="J152" s="109"/>
      <c r="K152" s="109"/>
      <c r="L152" s="109"/>
      <c r="M152" s="109"/>
      <c r="N152" s="109"/>
    </row>
  </sheetData>
  <sheetProtection algorithmName="SHA-512" hashValue="/ZGLgtyupwFw2x6mJ4q6p0lEqeru9crtHHd9gRFfyvhSLQ+3CikHciRMvSpNIQJGMGgpj3w58Sgp/5ZTwhreyA==" saltValue="Y+lXZkw1km5Wzh2eXXz9pQ==" spinCount="100000" sheet="1" objects="1" scenarios="1"/>
  <sortState xmlns:xlrd2="http://schemas.microsoft.com/office/spreadsheetml/2017/richdata2" ref="B109:C119">
    <sortCondition descending="1" ref="C115:C119"/>
  </sortState>
  <mergeCells count="2">
    <mergeCell ref="C85:D85"/>
    <mergeCell ref="F85:G85"/>
  </mergeCells>
  <dataValidations count="1">
    <dataValidation type="whole" allowBlank="1" showInputMessage="1" showErrorMessage="1" errorTitle="Maximum aantal uren" error="Het maximum aantal uren per jaar bedraagt 8.760" sqref="C139" xr:uid="{4B4A547C-6B52-45AF-8BE4-16ADB5C34E7E}">
      <formula1>0</formula1>
      <formula2>8760</formula2>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34887CCB-A5D3-4433-9574-08B94792176C}">
          <x14:formula1>
            <xm:f>Masterdata!$A$1:$A$12</xm:f>
          </x14:formula1>
          <xm:sqref>C85:D85 F85:G85</xm:sqref>
        </x14:dataValidation>
        <x14:dataValidation type="list" allowBlank="1" showInputMessage="1" showErrorMessage="1" xr:uid="{67A71551-4366-432A-96C3-71EC9C873E85}">
          <x14:formula1>
            <xm:f>Masterdata!$B$14:$B$15</xm:f>
          </x14:formula1>
          <xm:sqref>H18 E9 E13 E24 E28 E5 E64 E51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79D1B-5F08-4C89-A616-1F819F6580F0}">
  <sheetPr codeName="Blad3"/>
  <dimension ref="A1:G27"/>
  <sheetViews>
    <sheetView zoomScaleNormal="100" workbookViewId="0">
      <selection activeCell="G5" sqref="G5"/>
    </sheetView>
  </sheetViews>
  <sheetFormatPr defaultRowHeight="14.5" x14ac:dyDescent="0.35"/>
  <cols>
    <col min="1" max="1" width="8.7265625" style="11"/>
    <col min="2" max="2" width="45.6328125" style="11" customWidth="1"/>
    <col min="3" max="4" width="8.7265625" style="11"/>
    <col min="5" max="5" width="15.1796875" style="11" customWidth="1"/>
    <col min="6" max="6" width="15.81640625" style="11" bestFit="1" customWidth="1"/>
    <col min="7" max="7" width="12.90625" style="11" bestFit="1" customWidth="1"/>
    <col min="8" max="16384" width="8.7265625" style="11"/>
  </cols>
  <sheetData>
    <row r="1" spans="1:7" ht="15" thickBot="1" x14ac:dyDescent="0.4">
      <c r="A1" s="97" t="s">
        <v>144</v>
      </c>
      <c r="B1" s="121"/>
      <c r="C1" s="121"/>
      <c r="D1" s="121"/>
      <c r="E1" s="121"/>
      <c r="F1" s="121"/>
      <c r="G1" s="122"/>
    </row>
    <row r="3" spans="1:7" x14ac:dyDescent="0.35">
      <c r="A3" s="50"/>
      <c r="B3" s="50"/>
      <c r="C3" s="50" t="s">
        <v>1</v>
      </c>
      <c r="D3" s="50" t="s">
        <v>2</v>
      </c>
      <c r="E3" s="50" t="s">
        <v>3</v>
      </c>
      <c r="F3" s="50" t="s">
        <v>9</v>
      </c>
      <c r="G3" s="50" t="s">
        <v>10</v>
      </c>
    </row>
    <row r="4" spans="1:7" x14ac:dyDescent="0.35">
      <c r="A4" s="15" t="s">
        <v>4</v>
      </c>
      <c r="B4" s="16"/>
      <c r="C4" s="16"/>
      <c r="D4" s="16"/>
      <c r="E4" s="16"/>
      <c r="F4" s="16"/>
      <c r="G4" s="16"/>
    </row>
    <row r="5" spans="1:7" x14ac:dyDescent="0.35">
      <c r="A5" s="25"/>
      <c r="B5" s="25" t="s">
        <v>5</v>
      </c>
      <c r="C5" s="51" t="s">
        <v>13</v>
      </c>
      <c r="D5" s="25"/>
      <c r="E5" s="25"/>
      <c r="F5" s="52">
        <f>SUM('(Warmtevraag)'!C80:C81)</f>
        <v>0</v>
      </c>
      <c r="G5" s="131">
        <f>F5</f>
        <v>0</v>
      </c>
    </row>
    <row r="6" spans="1:7" x14ac:dyDescent="0.35">
      <c r="A6" s="25"/>
      <c r="B6" s="25" t="s">
        <v>7</v>
      </c>
      <c r="C6" s="51" t="s">
        <v>12</v>
      </c>
      <c r="D6" s="25"/>
      <c r="E6" s="25"/>
      <c r="F6" s="53">
        <f>IF('(Warmtevraag)'!C140=0,'(Warmtevraag)'!C144,'(Warmtevraag)'!C140)</f>
        <v>0</v>
      </c>
      <c r="G6" s="132">
        <f>F6</f>
        <v>0</v>
      </c>
    </row>
    <row r="7" spans="1:7" x14ac:dyDescent="0.35">
      <c r="A7" s="25"/>
      <c r="B7" s="25" t="s">
        <v>6</v>
      </c>
      <c r="C7" s="51" t="s">
        <v>12</v>
      </c>
      <c r="D7" s="25"/>
      <c r="E7" s="25"/>
      <c r="F7" s="53">
        <f>IF('(Warmtevraag)'!C149=0,'(Warmtevraag)'!C152,'(Warmtevraag)'!C149)</f>
        <v>0</v>
      </c>
      <c r="G7" s="132">
        <f>F7</f>
        <v>0</v>
      </c>
    </row>
    <row r="8" spans="1:7" x14ac:dyDescent="0.35">
      <c r="A8" s="25"/>
      <c r="B8" s="25" t="s">
        <v>8</v>
      </c>
      <c r="C8" s="51" t="s">
        <v>11</v>
      </c>
      <c r="D8" s="25"/>
      <c r="E8" s="25"/>
      <c r="F8" s="54">
        <f>'(Warmtevraag)'!C139</f>
        <v>3500</v>
      </c>
      <c r="G8" s="133">
        <f>F8</f>
        <v>3500</v>
      </c>
    </row>
    <row r="9" spans="1:7" x14ac:dyDescent="0.35">
      <c r="A9" s="55"/>
      <c r="B9" s="55"/>
      <c r="C9" s="56"/>
      <c r="D9" s="55"/>
      <c r="E9" s="55"/>
      <c r="F9" s="55"/>
      <c r="G9" s="55"/>
    </row>
    <row r="10" spans="1:7" x14ac:dyDescent="0.35">
      <c r="A10" s="57"/>
      <c r="B10" s="55"/>
      <c r="C10" s="56"/>
      <c r="D10" s="55"/>
      <c r="E10" s="55"/>
      <c r="F10" s="55"/>
      <c r="G10" s="55"/>
    </row>
    <row r="11" spans="1:7" x14ac:dyDescent="0.35">
      <c r="A11" s="15" t="s">
        <v>129</v>
      </c>
      <c r="B11" s="16"/>
      <c r="C11" s="58"/>
      <c r="D11" s="16"/>
      <c r="E11" s="16"/>
      <c r="F11" s="16"/>
      <c r="G11" s="16"/>
    </row>
    <row r="12" spans="1:7" x14ac:dyDescent="0.35">
      <c r="A12" s="25"/>
      <c r="B12" s="25" t="s">
        <v>123</v>
      </c>
      <c r="C12" s="51" t="s">
        <v>19</v>
      </c>
      <c r="D12" s="25"/>
      <c r="E12" s="25"/>
      <c r="F12" s="54">
        <v>25</v>
      </c>
      <c r="G12" s="133">
        <f>F12</f>
        <v>25</v>
      </c>
    </row>
    <row r="13" spans="1:7" x14ac:dyDescent="0.35">
      <c r="A13" s="25"/>
      <c r="B13" s="25" t="s">
        <v>18</v>
      </c>
      <c r="C13" s="51" t="s">
        <v>19</v>
      </c>
      <c r="D13" s="25"/>
      <c r="E13" s="25"/>
      <c r="F13" s="54">
        <v>3</v>
      </c>
      <c r="G13" s="133">
        <f>F13</f>
        <v>3</v>
      </c>
    </row>
    <row r="14" spans="1:7" x14ac:dyDescent="0.35">
      <c r="A14" s="25"/>
      <c r="B14" s="25" t="s">
        <v>125</v>
      </c>
      <c r="C14" s="51" t="s">
        <v>126</v>
      </c>
      <c r="D14" s="25"/>
      <c r="E14" s="25"/>
      <c r="F14" s="59" t="s">
        <v>127</v>
      </c>
      <c r="G14" s="134" t="str">
        <f>F14</f>
        <v>3-5 cm</v>
      </c>
    </row>
    <row r="15" spans="1:7" x14ac:dyDescent="0.35">
      <c r="A15" s="25"/>
      <c r="B15" s="25" t="s">
        <v>130</v>
      </c>
      <c r="C15" s="51" t="s">
        <v>131</v>
      </c>
      <c r="D15" s="25"/>
      <c r="E15" s="25"/>
      <c r="F15" s="54">
        <v>300</v>
      </c>
      <c r="G15" s="133">
        <f>F15</f>
        <v>300</v>
      </c>
    </row>
    <row r="16" spans="1:7" x14ac:dyDescent="0.35">
      <c r="A16" s="25"/>
      <c r="B16" s="25" t="s">
        <v>139</v>
      </c>
      <c r="C16" s="51" t="s">
        <v>138</v>
      </c>
      <c r="D16" s="25"/>
      <c r="E16" s="25"/>
      <c r="F16" s="54">
        <v>5</v>
      </c>
      <c r="G16" s="133">
        <f>F16</f>
        <v>5</v>
      </c>
    </row>
    <row r="17" spans="1:7" x14ac:dyDescent="0.35">
      <c r="A17" s="25"/>
      <c r="B17" s="25" t="s">
        <v>128</v>
      </c>
      <c r="C17" s="51" t="s">
        <v>124</v>
      </c>
      <c r="D17" s="25"/>
      <c r="E17" s="25"/>
      <c r="F17" s="53">
        <f>-0.0632*F12+5.1088</f>
        <v>3.5287999999999995</v>
      </c>
      <c r="G17" s="60">
        <f>-0.0632*G12+5.1088</f>
        <v>3.5287999999999995</v>
      </c>
    </row>
    <row r="18" spans="1:7" x14ac:dyDescent="0.35">
      <c r="A18" s="25"/>
      <c r="B18" s="25" t="s">
        <v>16</v>
      </c>
      <c r="C18" s="51" t="s">
        <v>17</v>
      </c>
      <c r="D18" s="25"/>
      <c r="E18" s="25"/>
      <c r="F18" s="52">
        <f>(F5/F23)/F17</f>
        <v>0</v>
      </c>
      <c r="G18" s="61">
        <f>(G5/G23)/G17</f>
        <v>0</v>
      </c>
    </row>
    <row r="19" spans="1:7" x14ac:dyDescent="0.35">
      <c r="A19" s="25"/>
      <c r="B19" s="25"/>
      <c r="C19" s="51" t="s">
        <v>135</v>
      </c>
      <c r="D19" s="25"/>
      <c r="E19" s="25"/>
      <c r="F19" s="52">
        <f>F18/1000</f>
        <v>0</v>
      </c>
      <c r="G19" s="61">
        <f>G18/1000</f>
        <v>0</v>
      </c>
    </row>
    <row r="20" spans="1:7" x14ac:dyDescent="0.35">
      <c r="A20" s="25"/>
      <c r="B20" s="25" t="s">
        <v>132</v>
      </c>
      <c r="C20" s="51" t="s">
        <v>133</v>
      </c>
      <c r="D20" s="25"/>
      <c r="E20" s="25"/>
      <c r="F20" s="52">
        <f>F18/F15</f>
        <v>0</v>
      </c>
      <c r="G20" s="61">
        <f>G18/G15</f>
        <v>0</v>
      </c>
    </row>
    <row r="21" spans="1:7" x14ac:dyDescent="0.35">
      <c r="A21" s="55"/>
      <c r="B21" s="55"/>
      <c r="C21" s="56"/>
      <c r="D21" s="55"/>
      <c r="E21" s="55"/>
      <c r="F21" s="55"/>
      <c r="G21" s="55"/>
    </row>
    <row r="22" spans="1:7" x14ac:dyDescent="0.35">
      <c r="A22" s="15" t="s">
        <v>14</v>
      </c>
      <c r="B22" s="16"/>
      <c r="C22" s="58"/>
      <c r="D22" s="16"/>
      <c r="E22" s="16"/>
      <c r="F22" s="16"/>
      <c r="G22" s="16"/>
    </row>
    <row r="23" spans="1:7" x14ac:dyDescent="0.35">
      <c r="A23" s="25"/>
      <c r="B23" s="25" t="s">
        <v>15</v>
      </c>
      <c r="C23" s="51" t="s">
        <v>19</v>
      </c>
      <c r="D23" s="25"/>
      <c r="E23" s="25"/>
      <c r="F23" s="62">
        <v>0.9</v>
      </c>
      <c r="G23" s="135">
        <f>F23</f>
        <v>0.9</v>
      </c>
    </row>
    <row r="24" spans="1:7" x14ac:dyDescent="0.35">
      <c r="A24" s="25"/>
      <c r="B24" s="25" t="s">
        <v>134</v>
      </c>
      <c r="C24" s="51" t="s">
        <v>12</v>
      </c>
      <c r="D24" s="25"/>
      <c r="E24" s="25"/>
      <c r="F24" s="63">
        <f>F6/F23</f>
        <v>0</v>
      </c>
      <c r="G24" s="61">
        <f>G6/G23</f>
        <v>0</v>
      </c>
    </row>
    <row r="25" spans="1:7" x14ac:dyDescent="0.35">
      <c r="A25" s="25"/>
      <c r="B25" s="25" t="s">
        <v>137</v>
      </c>
      <c r="C25" s="51"/>
      <c r="D25" s="25"/>
      <c r="E25" s="25"/>
      <c r="F25" s="63">
        <f>IF(F6=0,0,F7/F6)</f>
        <v>0</v>
      </c>
      <c r="G25" s="61">
        <f>IF(G6=0,0,G7/G6)</f>
        <v>0</v>
      </c>
    </row>
    <row r="26" spans="1:7" x14ac:dyDescent="0.35">
      <c r="A26" s="25"/>
      <c r="B26" s="25" t="s">
        <v>140</v>
      </c>
      <c r="C26" s="51" t="s">
        <v>133</v>
      </c>
      <c r="D26" s="25"/>
      <c r="E26" s="25"/>
      <c r="F26" s="63">
        <f>(F20/F16)*1.2</f>
        <v>0</v>
      </c>
      <c r="G26" s="61">
        <f>(G20/G16)*1.2</f>
        <v>0</v>
      </c>
    </row>
    <row r="27" spans="1:7" x14ac:dyDescent="0.35">
      <c r="A27" s="25"/>
      <c r="B27" s="25" t="s">
        <v>136</v>
      </c>
      <c r="C27" s="51" t="s">
        <v>17</v>
      </c>
      <c r="D27" s="25"/>
      <c r="E27" s="25"/>
      <c r="F27" s="52">
        <f>F13*F18/100</f>
        <v>0</v>
      </c>
      <c r="G27" s="61">
        <f>G13*G18/100</f>
        <v>0</v>
      </c>
    </row>
  </sheetData>
  <sheetProtection algorithmName="SHA-512" hashValue="NAdfiPbCFcn3W+QGA5SL/Dsmi07kaklPoBlMoSLjE7g0GD6fpXiMU34bnPmxMDqQWQnS2m1b8iGF8fz3iRkbzQ==" saltValue="hx+dpNyj8y1aCuVRsbs1W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A6299-8042-483F-A445-3AEE4BDD183D}">
  <sheetPr codeName="Blad4"/>
  <dimension ref="A1:L39"/>
  <sheetViews>
    <sheetView workbookViewId="0">
      <selection activeCell="G32" sqref="G32"/>
    </sheetView>
  </sheetViews>
  <sheetFormatPr defaultRowHeight="14.5" x14ac:dyDescent="0.35"/>
  <cols>
    <col min="1" max="1" width="8.7265625" style="11"/>
    <col min="2" max="2" width="51.6328125" style="11" customWidth="1"/>
    <col min="3" max="4" width="8.7265625" style="11"/>
    <col min="5" max="5" width="25" style="11" bestFit="1" customWidth="1"/>
    <col min="6" max="6" width="15.81640625" style="11" bestFit="1" customWidth="1"/>
    <col min="7" max="7" width="12.90625" style="11" bestFit="1" customWidth="1"/>
    <col min="8" max="16384" width="8.7265625" style="11"/>
  </cols>
  <sheetData>
    <row r="1" spans="1:12" ht="15" thickBot="1" x14ac:dyDescent="0.4">
      <c r="A1" s="97" t="s">
        <v>147</v>
      </c>
      <c r="B1" s="121"/>
      <c r="C1" s="121"/>
      <c r="D1" s="121"/>
      <c r="E1" s="121"/>
      <c r="F1" s="121"/>
      <c r="G1" s="122"/>
    </row>
    <row r="2" spans="1:12" ht="15" thickBot="1" x14ac:dyDescent="0.4">
      <c r="A2" s="64" t="s">
        <v>254</v>
      </c>
      <c r="B2" s="65"/>
      <c r="C2" s="66"/>
      <c r="D2" s="66"/>
      <c r="E2" s="66"/>
      <c r="F2" s="66"/>
      <c r="G2" s="67"/>
      <c r="H2" s="24"/>
      <c r="I2" s="24"/>
      <c r="J2" s="24"/>
      <c r="K2" s="24"/>
      <c r="L2" s="24"/>
    </row>
    <row r="3" spans="1:12" x14ac:dyDescent="0.35">
      <c r="A3" s="68"/>
      <c r="B3" s="69"/>
      <c r="C3" s="24"/>
      <c r="D3" s="24"/>
      <c r="E3" s="24"/>
      <c r="F3" s="24"/>
      <c r="G3" s="24"/>
      <c r="H3" s="24"/>
      <c r="I3" s="24"/>
      <c r="J3" s="24"/>
      <c r="K3" s="24"/>
      <c r="L3" s="24"/>
    </row>
    <row r="4" spans="1:12" x14ac:dyDescent="0.35">
      <c r="A4" s="50"/>
      <c r="B4" s="50"/>
      <c r="C4" s="106" t="s">
        <v>1</v>
      </c>
      <c r="D4" s="106"/>
      <c r="E4" s="106" t="s">
        <v>3</v>
      </c>
      <c r="F4" s="106" t="s">
        <v>201</v>
      </c>
      <c r="G4" s="106" t="s">
        <v>10</v>
      </c>
    </row>
    <row r="5" spans="1:12" x14ac:dyDescent="0.35">
      <c r="A5" s="15" t="s">
        <v>142</v>
      </c>
      <c r="B5" s="16"/>
      <c r="C5" s="16"/>
      <c r="D5" s="16"/>
      <c r="E5" s="16"/>
      <c r="F5" s="16"/>
      <c r="G5" s="16"/>
    </row>
    <row r="6" spans="1:12" x14ac:dyDescent="0.35">
      <c r="A6" s="25"/>
      <c r="B6" s="25" t="s">
        <v>149</v>
      </c>
      <c r="C6" s="51" t="s">
        <v>143</v>
      </c>
      <c r="D6" s="25"/>
      <c r="E6" s="70" t="s">
        <v>180</v>
      </c>
      <c r="F6" s="52">
        <f>'Technische Installatie'!G24*350</f>
        <v>0</v>
      </c>
      <c r="G6" s="131">
        <f>F6</f>
        <v>0</v>
      </c>
    </row>
    <row r="7" spans="1:12" x14ac:dyDescent="0.35">
      <c r="A7" s="25"/>
      <c r="B7" s="25" t="s">
        <v>155</v>
      </c>
      <c r="C7" s="51" t="s">
        <v>143</v>
      </c>
      <c r="D7" s="25"/>
      <c r="E7" s="71" t="s">
        <v>177</v>
      </c>
      <c r="F7" s="52">
        <f>G6*0.2</f>
        <v>0</v>
      </c>
      <c r="G7" s="131">
        <f>G6*0.2</f>
        <v>0</v>
      </c>
    </row>
    <row r="8" spans="1:12" x14ac:dyDescent="0.35">
      <c r="A8" s="25"/>
      <c r="B8" s="25" t="s">
        <v>150</v>
      </c>
      <c r="C8" s="51" t="s">
        <v>143</v>
      </c>
      <c r="D8" s="25"/>
      <c r="E8" s="71" t="s">
        <v>178</v>
      </c>
      <c r="F8" s="52">
        <f>G6*0.15</f>
        <v>0</v>
      </c>
      <c r="G8" s="131">
        <f>G6*0.15</f>
        <v>0</v>
      </c>
    </row>
    <row r="9" spans="1:12" x14ac:dyDescent="0.35">
      <c r="A9" s="25"/>
      <c r="B9" s="25" t="s">
        <v>151</v>
      </c>
      <c r="C9" s="51" t="s">
        <v>143</v>
      </c>
      <c r="D9" s="25"/>
      <c r="E9" s="71" t="s">
        <v>178</v>
      </c>
      <c r="F9" s="52">
        <f>G6*0.15</f>
        <v>0</v>
      </c>
      <c r="G9" s="131">
        <f>G6*0.15</f>
        <v>0</v>
      </c>
    </row>
    <row r="10" spans="1:12" x14ac:dyDescent="0.35">
      <c r="A10" s="25"/>
      <c r="B10" s="25" t="s">
        <v>157</v>
      </c>
      <c r="C10" s="51" t="s">
        <v>143</v>
      </c>
      <c r="D10" s="25"/>
      <c r="E10" s="71" t="s">
        <v>178</v>
      </c>
      <c r="F10" s="52">
        <f>G6*0.15</f>
        <v>0</v>
      </c>
      <c r="G10" s="131">
        <f>G6*0.15</f>
        <v>0</v>
      </c>
    </row>
    <row r="11" spans="1:12" x14ac:dyDescent="0.35">
      <c r="A11" s="25"/>
      <c r="B11" s="25" t="s">
        <v>152</v>
      </c>
      <c r="C11" s="51" t="s">
        <v>143</v>
      </c>
      <c r="D11" s="25"/>
      <c r="E11" s="71" t="s">
        <v>179</v>
      </c>
      <c r="F11" s="52">
        <f>G6*0.1</f>
        <v>0</v>
      </c>
      <c r="G11" s="131">
        <f>G6*0.1</f>
        <v>0</v>
      </c>
    </row>
    <row r="12" spans="1:12" x14ac:dyDescent="0.35">
      <c r="A12" s="25"/>
      <c r="B12" s="72" t="s">
        <v>156</v>
      </c>
      <c r="C12" s="73" t="s">
        <v>143</v>
      </c>
      <c r="D12" s="72"/>
      <c r="E12" s="74"/>
      <c r="F12" s="75">
        <f>SUM(F6:F11)</f>
        <v>0</v>
      </c>
      <c r="G12" s="76">
        <f>SUM(G6:G11)</f>
        <v>0</v>
      </c>
    </row>
    <row r="13" spans="1:12" x14ac:dyDescent="0.35">
      <c r="A13" s="57"/>
      <c r="B13" s="55"/>
      <c r="C13" s="56"/>
      <c r="D13" s="55"/>
      <c r="E13" s="55"/>
      <c r="F13" s="55"/>
      <c r="G13" s="55"/>
    </row>
    <row r="14" spans="1:12" x14ac:dyDescent="0.35">
      <c r="A14" s="15" t="s">
        <v>148</v>
      </c>
      <c r="B14" s="16"/>
      <c r="C14" s="58"/>
      <c r="D14" s="16"/>
      <c r="E14" s="16"/>
      <c r="F14" s="16"/>
      <c r="G14" s="16"/>
    </row>
    <row r="15" spans="1:12" x14ac:dyDescent="0.35">
      <c r="A15" s="25"/>
      <c r="B15" s="25" t="s">
        <v>153</v>
      </c>
      <c r="C15" s="51" t="s">
        <v>154</v>
      </c>
      <c r="D15" s="25"/>
      <c r="E15" s="70"/>
      <c r="F15" s="54">
        <v>100</v>
      </c>
      <c r="G15" s="133">
        <f>F15</f>
        <v>100</v>
      </c>
    </row>
    <row r="16" spans="1:12" x14ac:dyDescent="0.35">
      <c r="A16" s="25"/>
      <c r="B16" s="25" t="s">
        <v>165</v>
      </c>
      <c r="C16" s="51" t="s">
        <v>166</v>
      </c>
      <c r="D16" s="25"/>
      <c r="E16" s="70"/>
      <c r="F16" s="54">
        <v>1</v>
      </c>
      <c r="G16" s="133">
        <f>F16</f>
        <v>1</v>
      </c>
    </row>
    <row r="17" spans="1:7" x14ac:dyDescent="0.35">
      <c r="A17" s="25"/>
      <c r="B17" s="25" t="s">
        <v>167</v>
      </c>
      <c r="C17" s="51" t="s">
        <v>168</v>
      </c>
      <c r="D17" s="25"/>
      <c r="E17" s="70"/>
      <c r="F17" s="54">
        <v>40</v>
      </c>
      <c r="G17" s="133">
        <f>F17</f>
        <v>40</v>
      </c>
    </row>
    <row r="18" spans="1:7" x14ac:dyDescent="0.35">
      <c r="A18" s="25"/>
      <c r="B18" s="25" t="s">
        <v>169</v>
      </c>
      <c r="C18" s="51" t="s">
        <v>170</v>
      </c>
      <c r="D18" s="25"/>
      <c r="E18" s="70"/>
      <c r="F18" s="52">
        <f>('(Warmtevraag)'!C139/7/24)*2</f>
        <v>41.666666666666664</v>
      </c>
      <c r="G18" s="131">
        <f>F18</f>
        <v>41.666666666666664</v>
      </c>
    </row>
    <row r="19" spans="1:7" x14ac:dyDescent="0.35">
      <c r="A19" s="25"/>
      <c r="B19" s="25" t="s">
        <v>158</v>
      </c>
      <c r="C19" s="51" t="s">
        <v>159</v>
      </c>
      <c r="D19" s="25"/>
      <c r="E19" s="70"/>
      <c r="F19" s="52">
        <f>G15*'Technische Installatie'!G19</f>
        <v>0</v>
      </c>
      <c r="G19" s="61">
        <f>G15*'Technische Installatie'!G19</f>
        <v>0</v>
      </c>
    </row>
    <row r="20" spans="1:7" x14ac:dyDescent="0.35">
      <c r="A20" s="25"/>
      <c r="B20" s="25" t="s">
        <v>171</v>
      </c>
      <c r="C20" s="51" t="s">
        <v>159</v>
      </c>
      <c r="D20" s="25"/>
      <c r="E20" s="70"/>
      <c r="F20" s="63">
        <f>G16*'Technische Installatie'!G27</f>
        <v>0</v>
      </c>
      <c r="G20" s="77">
        <f>G16*'Technische Installatie'!G27</f>
        <v>0</v>
      </c>
    </row>
    <row r="21" spans="1:7" x14ac:dyDescent="0.35">
      <c r="A21" s="25"/>
      <c r="B21" s="25" t="s">
        <v>172</v>
      </c>
      <c r="C21" s="51" t="s">
        <v>159</v>
      </c>
      <c r="D21" s="25"/>
      <c r="E21" s="70"/>
      <c r="F21" s="52">
        <f>G17*G18</f>
        <v>1666.6666666666665</v>
      </c>
      <c r="G21" s="61">
        <f>G18*G17</f>
        <v>1666.6666666666665</v>
      </c>
    </row>
    <row r="22" spans="1:7" x14ac:dyDescent="0.35">
      <c r="A22" s="25"/>
      <c r="B22" s="25" t="s">
        <v>160</v>
      </c>
      <c r="C22" s="51" t="s">
        <v>159</v>
      </c>
      <c r="D22" s="25"/>
      <c r="E22" s="70" t="s">
        <v>176</v>
      </c>
      <c r="F22" s="52">
        <f>0.02*G6</f>
        <v>0</v>
      </c>
      <c r="G22" s="131">
        <f>0.02*G6</f>
        <v>0</v>
      </c>
    </row>
    <row r="23" spans="1:7" x14ac:dyDescent="0.35">
      <c r="A23" s="25"/>
      <c r="B23" s="25" t="s">
        <v>161</v>
      </c>
      <c r="C23" s="51" t="s">
        <v>159</v>
      </c>
      <c r="D23" s="25"/>
      <c r="E23" s="70" t="s">
        <v>181</v>
      </c>
      <c r="F23" s="52">
        <f>0.01*G7</f>
        <v>0</v>
      </c>
      <c r="G23" s="131">
        <f>F23</f>
        <v>0</v>
      </c>
    </row>
    <row r="24" spans="1:7" x14ac:dyDescent="0.35">
      <c r="A24" s="25"/>
      <c r="B24" s="25" t="s">
        <v>162</v>
      </c>
      <c r="C24" s="51" t="s">
        <v>159</v>
      </c>
      <c r="D24" s="25"/>
      <c r="E24" s="70" t="s">
        <v>174</v>
      </c>
      <c r="F24" s="52">
        <f>0.015*G8</f>
        <v>0</v>
      </c>
      <c r="G24" s="131">
        <f>F24</f>
        <v>0</v>
      </c>
    </row>
    <row r="25" spans="1:7" x14ac:dyDescent="0.35">
      <c r="A25" s="25"/>
      <c r="B25" s="25" t="s">
        <v>163</v>
      </c>
      <c r="C25" s="51" t="s">
        <v>159</v>
      </c>
      <c r="D25" s="25"/>
      <c r="E25" s="70" t="s">
        <v>175</v>
      </c>
      <c r="F25" s="52">
        <f>0.02*G9</f>
        <v>0</v>
      </c>
      <c r="G25" s="131">
        <f>F25</f>
        <v>0</v>
      </c>
    </row>
    <row r="26" spans="1:7" x14ac:dyDescent="0.35">
      <c r="A26" s="25"/>
      <c r="B26" s="25" t="s">
        <v>164</v>
      </c>
      <c r="C26" s="51" t="s">
        <v>159</v>
      </c>
      <c r="D26" s="25"/>
      <c r="E26" s="70" t="s">
        <v>173</v>
      </c>
      <c r="F26" s="52">
        <f>0.01*G12</f>
        <v>0</v>
      </c>
      <c r="G26" s="131">
        <f>F26</f>
        <v>0</v>
      </c>
    </row>
    <row r="27" spans="1:7" x14ac:dyDescent="0.35">
      <c r="A27" s="25"/>
      <c r="B27" s="25" t="s">
        <v>182</v>
      </c>
      <c r="C27" s="51" t="s">
        <v>159</v>
      </c>
      <c r="D27" s="25"/>
      <c r="E27" s="70" t="s">
        <v>183</v>
      </c>
      <c r="F27" s="52">
        <f>0.05*G12</f>
        <v>0</v>
      </c>
      <c r="G27" s="131">
        <f>F27</f>
        <v>0</v>
      </c>
    </row>
    <row r="28" spans="1:7" x14ac:dyDescent="0.35">
      <c r="A28" s="25"/>
      <c r="B28" s="72" t="s">
        <v>184</v>
      </c>
      <c r="C28" s="73" t="s">
        <v>159</v>
      </c>
      <c r="D28" s="72"/>
      <c r="E28" s="72"/>
      <c r="F28" s="75">
        <f>SUM(F19:F27)</f>
        <v>1666.6666666666665</v>
      </c>
      <c r="G28" s="76">
        <f>SUM(G19:G27)</f>
        <v>1666.6666666666665</v>
      </c>
    </row>
    <row r="29" spans="1:7" x14ac:dyDescent="0.35">
      <c r="A29" s="25"/>
      <c r="B29" s="25"/>
      <c r="C29" s="51"/>
      <c r="D29" s="25"/>
      <c r="E29" s="25"/>
      <c r="F29" s="52"/>
      <c r="G29" s="61"/>
    </row>
    <row r="30" spans="1:7" x14ac:dyDescent="0.35">
      <c r="A30" s="55"/>
      <c r="B30" s="55"/>
      <c r="C30" s="56"/>
      <c r="D30" s="55"/>
      <c r="E30" s="55"/>
      <c r="F30" s="55"/>
      <c r="G30" s="55"/>
    </row>
    <row r="31" spans="1:7" x14ac:dyDescent="0.35">
      <c r="A31" s="15" t="s">
        <v>185</v>
      </c>
      <c r="B31" s="16"/>
      <c r="C31" s="58"/>
      <c r="D31" s="16"/>
      <c r="E31" s="16"/>
      <c r="F31" s="16"/>
      <c r="G31" s="16"/>
    </row>
    <row r="32" spans="1:7" x14ac:dyDescent="0.35">
      <c r="A32" s="25"/>
      <c r="B32" s="25" t="s">
        <v>189</v>
      </c>
      <c r="C32" s="25"/>
      <c r="D32" s="25"/>
      <c r="E32" s="70"/>
      <c r="F32" s="63"/>
      <c r="G32" s="133" t="s">
        <v>191</v>
      </c>
    </row>
    <row r="33" spans="1:7" x14ac:dyDescent="0.35">
      <c r="A33" s="25"/>
      <c r="B33" s="25" t="s">
        <v>195</v>
      </c>
      <c r="C33" s="25"/>
      <c r="D33" s="25"/>
      <c r="E33" s="70"/>
      <c r="F33" s="63"/>
      <c r="G33" s="78" t="str">
        <f>IF(G32="landbouwer", "ja","neen")</f>
        <v>neen</v>
      </c>
    </row>
    <row r="34" spans="1:7" x14ac:dyDescent="0.35">
      <c r="A34" s="25"/>
      <c r="B34" s="25" t="s">
        <v>187</v>
      </c>
      <c r="C34" s="51" t="s">
        <v>143</v>
      </c>
      <c r="D34" s="25"/>
      <c r="E34" s="71" t="s">
        <v>188</v>
      </c>
      <c r="F34" s="63"/>
      <c r="G34" s="79">
        <f>IF(G33="ja",Masterdata!I23*'Economische Analyse'!G12,0)</f>
        <v>0</v>
      </c>
    </row>
    <row r="35" spans="1:7" x14ac:dyDescent="0.35">
      <c r="A35" s="25"/>
      <c r="B35" s="25" t="s">
        <v>194</v>
      </c>
      <c r="C35" s="51"/>
      <c r="D35" s="25"/>
      <c r="E35" s="25"/>
      <c r="F35" s="80"/>
      <c r="G35" s="78"/>
    </row>
    <row r="36" spans="1:7" x14ac:dyDescent="0.35">
      <c r="A36" s="25"/>
      <c r="B36" s="70" t="s">
        <v>196</v>
      </c>
      <c r="C36" s="51"/>
      <c r="D36" s="25"/>
      <c r="E36" s="25"/>
      <c r="F36" s="63"/>
      <c r="G36" s="81" t="str">
        <f>IF('Technische Installatie'!G24&lt;300,"neen","ja")</f>
        <v>neen</v>
      </c>
    </row>
    <row r="37" spans="1:7" x14ac:dyDescent="0.35">
      <c r="A37" s="25"/>
      <c r="B37" s="70" t="s">
        <v>197</v>
      </c>
      <c r="C37" s="51"/>
      <c r="D37" s="25"/>
      <c r="E37" s="25"/>
      <c r="F37" s="63"/>
      <c r="G37" s="82">
        <f>IF(G32="landbouwer",0,VLOOKUP(G32,Masterdata!F23:I27,4,FALSE))</f>
        <v>0.55000000000000004</v>
      </c>
    </row>
    <row r="38" spans="1:7" x14ac:dyDescent="0.35">
      <c r="A38" s="25"/>
      <c r="B38" s="70" t="s">
        <v>199</v>
      </c>
      <c r="C38" s="51" t="s">
        <v>143</v>
      </c>
      <c r="D38" s="25"/>
      <c r="E38" s="25"/>
      <c r="F38" s="63"/>
      <c r="G38" s="83">
        <f>'Technische Installatie'!G24*Masterdata!C31+Masterdata!C32</f>
        <v>1850</v>
      </c>
    </row>
    <row r="39" spans="1:7" x14ac:dyDescent="0.35">
      <c r="A39" s="25"/>
      <c r="B39" s="70" t="s">
        <v>200</v>
      </c>
      <c r="C39" s="51" t="s">
        <v>143</v>
      </c>
      <c r="D39" s="25"/>
      <c r="E39" s="25"/>
      <c r="F39" s="52"/>
      <c r="G39" s="61">
        <f>IF(G36="ja",G37*(G12-G38),0)</f>
        <v>0</v>
      </c>
    </row>
  </sheetData>
  <sheetProtection algorithmName="SHA-512" hashValue="qql6ic7nMqqb4AYIqQKwl6TJ0BHbjrXyhUecHFnVEVbwkSy22V4adT00/4avo8xD0ugwd0JWiTvjD3N4FEmvZQ==" saltValue="UoAPfdfmmeKsgiibKa+kCw==" spinCount="100000"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B81994-F1F7-4499-A1B3-B83942307467}">
          <x14:formula1>
            <xm:f>Masterdata!$F$23:$F$27</xm:f>
          </x14:formula1>
          <xm:sqref>G32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3A3D6-196B-441D-8BBA-3A6E21AFF3CB}">
  <sheetPr codeName="Blad5"/>
  <dimension ref="A1:S53"/>
  <sheetViews>
    <sheetView workbookViewId="0">
      <selection activeCell="D2" sqref="D2"/>
    </sheetView>
  </sheetViews>
  <sheetFormatPr defaultRowHeight="14.5" x14ac:dyDescent="0.35"/>
  <cols>
    <col min="1" max="1" width="9.90625" bestFit="1" customWidth="1"/>
    <col min="5" max="5" width="11.08984375" bestFit="1" customWidth="1"/>
  </cols>
  <sheetData>
    <row r="1" spans="1:14" x14ac:dyDescent="0.35">
      <c r="A1" s="5" t="s">
        <v>66</v>
      </c>
      <c r="B1" s="5">
        <v>1</v>
      </c>
      <c r="C1">
        <v>0</v>
      </c>
      <c r="D1">
        <v>20.92</v>
      </c>
    </row>
    <row r="2" spans="1:14" x14ac:dyDescent="0.35">
      <c r="A2" s="5" t="s">
        <v>67</v>
      </c>
      <c r="B2" s="5">
        <v>2</v>
      </c>
      <c r="C2">
        <f>'(Warmtevraag)'!E114</f>
        <v>744</v>
      </c>
      <c r="D2" s="4">
        <f>'(Warmtevraag)'!G115</f>
        <v>0</v>
      </c>
    </row>
    <row r="3" spans="1:14" x14ac:dyDescent="0.35">
      <c r="A3" s="5" t="s">
        <v>68</v>
      </c>
      <c r="B3" s="5">
        <v>3</v>
      </c>
      <c r="C3">
        <f>'(Warmtevraag)'!E115</f>
        <v>1416</v>
      </c>
      <c r="D3" s="4">
        <f>'(Warmtevraag)'!G116</f>
        <v>0</v>
      </c>
    </row>
    <row r="4" spans="1:14" x14ac:dyDescent="0.35">
      <c r="A4" s="5" t="s">
        <v>69</v>
      </c>
      <c r="B4" s="5">
        <v>4</v>
      </c>
      <c r="C4">
        <f>'(Warmtevraag)'!E116</f>
        <v>2160</v>
      </c>
      <c r="D4" s="4">
        <f>'(Warmtevraag)'!G117</f>
        <v>0</v>
      </c>
    </row>
    <row r="5" spans="1:14" x14ac:dyDescent="0.35">
      <c r="A5" s="5" t="s">
        <v>70</v>
      </c>
      <c r="B5" s="5">
        <v>5</v>
      </c>
      <c r="C5">
        <f>'(Warmtevraag)'!E117</f>
        <v>2880</v>
      </c>
      <c r="D5" s="4">
        <f>'(Warmtevraag)'!G118</f>
        <v>0</v>
      </c>
    </row>
    <row r="6" spans="1:14" x14ac:dyDescent="0.35">
      <c r="A6" s="5" t="s">
        <v>71</v>
      </c>
      <c r="B6" s="5">
        <v>6</v>
      </c>
      <c r="C6">
        <f>'(Warmtevraag)'!E118</f>
        <v>3624</v>
      </c>
      <c r="D6" s="4">
        <f>'(Warmtevraag)'!G119</f>
        <v>0</v>
      </c>
    </row>
    <row r="7" spans="1:14" x14ac:dyDescent="0.35">
      <c r="A7" s="5" t="s">
        <v>72</v>
      </c>
      <c r="B7" s="5">
        <v>7</v>
      </c>
      <c r="C7">
        <f>'(Warmtevraag)'!E119</f>
        <v>4344</v>
      </c>
      <c r="D7" s="4">
        <f>'(Warmtevraag)'!G120</f>
        <v>0</v>
      </c>
    </row>
    <row r="8" spans="1:14" x14ac:dyDescent="0.35">
      <c r="A8" s="5" t="s">
        <v>73</v>
      </c>
      <c r="B8" s="5">
        <v>8</v>
      </c>
      <c r="C8">
        <f>'(Warmtevraag)'!E120</f>
        <v>5088</v>
      </c>
      <c r="D8" s="4">
        <f>'(Warmtevraag)'!G121</f>
        <v>0</v>
      </c>
    </row>
    <row r="9" spans="1:14" x14ac:dyDescent="0.35">
      <c r="A9" s="5" t="s">
        <v>74</v>
      </c>
      <c r="B9" s="5">
        <v>9</v>
      </c>
      <c r="C9">
        <f>'(Warmtevraag)'!E121</f>
        <v>5832</v>
      </c>
      <c r="D9" s="4">
        <f>'(Warmtevraag)'!G122</f>
        <v>0</v>
      </c>
    </row>
    <row r="10" spans="1:14" x14ac:dyDescent="0.35">
      <c r="A10" s="5" t="s">
        <v>75</v>
      </c>
      <c r="B10" s="5">
        <v>10</v>
      </c>
      <c r="C10">
        <f>'(Warmtevraag)'!E122</f>
        <v>6552</v>
      </c>
      <c r="D10" s="4">
        <f>'(Warmtevraag)'!G123</f>
        <v>0</v>
      </c>
    </row>
    <row r="11" spans="1:14" x14ac:dyDescent="0.35">
      <c r="A11" s="5" t="s">
        <v>76</v>
      </c>
      <c r="B11" s="5">
        <v>11</v>
      </c>
      <c r="C11">
        <f>'(Warmtevraag)'!E123</f>
        <v>7296</v>
      </c>
      <c r="D11" s="4">
        <f>'(Warmtevraag)'!G124</f>
        <v>0</v>
      </c>
    </row>
    <row r="12" spans="1:14" x14ac:dyDescent="0.35">
      <c r="A12" s="5" t="s">
        <v>77</v>
      </c>
      <c r="B12" s="5">
        <v>12</v>
      </c>
      <c r="C12">
        <f>'(Warmtevraag)'!E124</f>
        <v>8016</v>
      </c>
      <c r="D12" s="4">
        <f>'(Warmtevraag)'!G125</f>
        <v>0</v>
      </c>
    </row>
    <row r="13" spans="1:14" x14ac:dyDescent="0.35">
      <c r="C13">
        <f>'(Warmtevraag)'!E125</f>
        <v>8760</v>
      </c>
      <c r="D13" s="4" t="s">
        <v>251</v>
      </c>
    </row>
    <row r="14" spans="1:14" x14ac:dyDescent="0.35">
      <c r="B14" s="6" t="s">
        <v>38</v>
      </c>
      <c r="M14" s="5" t="s">
        <v>120</v>
      </c>
      <c r="N14" s="5" t="s">
        <v>121</v>
      </c>
    </row>
    <row r="15" spans="1:14" x14ac:dyDescent="0.35">
      <c r="B15" s="6" t="s">
        <v>39</v>
      </c>
      <c r="M15" s="5" t="s">
        <v>19</v>
      </c>
      <c r="N15" s="5" t="s">
        <v>122</v>
      </c>
    </row>
    <row r="16" spans="1:14" x14ac:dyDescent="0.35">
      <c r="M16" s="5">
        <v>7</v>
      </c>
      <c r="N16" s="5">
        <v>4.5999999999999996</v>
      </c>
    </row>
    <row r="17" spans="1:14" x14ac:dyDescent="0.35">
      <c r="M17" s="5">
        <v>18</v>
      </c>
      <c r="N17" s="5">
        <v>4</v>
      </c>
    </row>
    <row r="18" spans="1:14" x14ac:dyDescent="0.35">
      <c r="M18" s="5">
        <v>25</v>
      </c>
      <c r="N18" s="5">
        <v>3.6</v>
      </c>
    </row>
    <row r="19" spans="1:14" x14ac:dyDescent="0.35">
      <c r="M19" s="5">
        <v>55</v>
      </c>
      <c r="N19" s="5">
        <v>1.6</v>
      </c>
    </row>
    <row r="21" spans="1:14" x14ac:dyDescent="0.35">
      <c r="A21" t="s">
        <v>141</v>
      </c>
      <c r="B21" t="s">
        <v>142</v>
      </c>
      <c r="F21" t="s">
        <v>189</v>
      </c>
    </row>
    <row r="22" spans="1:14" x14ac:dyDescent="0.35">
      <c r="A22" t="s">
        <v>12</v>
      </c>
      <c r="B22" t="s">
        <v>143</v>
      </c>
      <c r="D22" t="s">
        <v>198</v>
      </c>
    </row>
    <row r="23" spans="1:14" x14ac:dyDescent="0.35">
      <c r="A23">
        <v>55</v>
      </c>
      <c r="B23">
        <v>19250</v>
      </c>
      <c r="C23">
        <f>B23/A23</f>
        <v>350</v>
      </c>
      <c r="D23">
        <f>10*A23+1850</f>
        <v>2400</v>
      </c>
      <c r="F23" t="s">
        <v>186</v>
      </c>
      <c r="I23">
        <v>0.3</v>
      </c>
    </row>
    <row r="24" spans="1:14" x14ac:dyDescent="0.35">
      <c r="A24">
        <v>100</v>
      </c>
      <c r="B24">
        <v>35000</v>
      </c>
      <c r="C24">
        <f t="shared" ref="C24:C28" si="0">B24/A24</f>
        <v>350</v>
      </c>
      <c r="D24">
        <f t="shared" ref="D24:D28" si="1">10*A24+1850</f>
        <v>2850</v>
      </c>
      <c r="F24" t="s">
        <v>190</v>
      </c>
      <c r="I24">
        <v>0.65</v>
      </c>
    </row>
    <row r="25" spans="1:14" x14ac:dyDescent="0.35">
      <c r="A25">
        <v>150</v>
      </c>
      <c r="B25">
        <v>52500</v>
      </c>
      <c r="C25">
        <f t="shared" si="0"/>
        <v>350</v>
      </c>
      <c r="D25">
        <f t="shared" si="1"/>
        <v>3350</v>
      </c>
      <c r="F25" t="s">
        <v>191</v>
      </c>
      <c r="I25">
        <v>0.55000000000000004</v>
      </c>
    </row>
    <row r="26" spans="1:14" x14ac:dyDescent="0.35">
      <c r="A26">
        <v>200</v>
      </c>
      <c r="B26">
        <v>70000</v>
      </c>
      <c r="C26">
        <f t="shared" si="0"/>
        <v>350</v>
      </c>
      <c r="D26">
        <f t="shared" si="1"/>
        <v>3850</v>
      </c>
      <c r="F26" t="s">
        <v>192</v>
      </c>
      <c r="I26">
        <v>0.45</v>
      </c>
    </row>
    <row r="27" spans="1:14" x14ac:dyDescent="0.35">
      <c r="A27">
        <v>250</v>
      </c>
      <c r="B27">
        <v>87500</v>
      </c>
      <c r="C27">
        <f t="shared" si="0"/>
        <v>350</v>
      </c>
      <c r="D27">
        <f t="shared" si="1"/>
        <v>4350</v>
      </c>
      <c r="F27" t="s">
        <v>193</v>
      </c>
      <c r="I27">
        <v>0.65</v>
      </c>
    </row>
    <row r="28" spans="1:14" x14ac:dyDescent="0.35">
      <c r="A28">
        <v>300</v>
      </c>
      <c r="B28">
        <v>105000</v>
      </c>
      <c r="C28">
        <f t="shared" si="0"/>
        <v>350</v>
      </c>
      <c r="D28">
        <f t="shared" si="1"/>
        <v>4850</v>
      </c>
    </row>
    <row r="31" spans="1:14" x14ac:dyDescent="0.35">
      <c r="A31">
        <v>55</v>
      </c>
      <c r="B31">
        <v>2400</v>
      </c>
      <c r="C31" s="3">
        <f>(B32-B31)/(A32-A31)</f>
        <v>10.204081632653061</v>
      </c>
    </row>
    <row r="32" spans="1:14" x14ac:dyDescent="0.35">
      <c r="A32">
        <v>300</v>
      </c>
      <c r="B32">
        <v>4900</v>
      </c>
      <c r="C32">
        <f>2400-550</f>
        <v>1850</v>
      </c>
    </row>
    <row r="41" spans="1:19" x14ac:dyDescent="0.35">
      <c r="B41" t="s">
        <v>245</v>
      </c>
      <c r="C41" t="s">
        <v>246</v>
      </c>
      <c r="D41" t="s">
        <v>247</v>
      </c>
      <c r="E41">
        <v>1</v>
      </c>
      <c r="F41">
        <v>2</v>
      </c>
      <c r="G41">
        <v>3</v>
      </c>
      <c r="H41">
        <v>4</v>
      </c>
      <c r="I41">
        <v>5</v>
      </c>
      <c r="J41">
        <v>6</v>
      </c>
      <c r="K41">
        <v>7</v>
      </c>
      <c r="L41">
        <v>8</v>
      </c>
      <c r="M41">
        <v>9</v>
      </c>
      <c r="N41">
        <v>10</v>
      </c>
      <c r="O41">
        <v>11</v>
      </c>
      <c r="P41">
        <v>12</v>
      </c>
      <c r="Q41" t="s">
        <v>248</v>
      </c>
      <c r="R41" t="s">
        <v>246</v>
      </c>
      <c r="S41" t="s">
        <v>249</v>
      </c>
    </row>
    <row r="42" spans="1:19" x14ac:dyDescent="0.35">
      <c r="A42" s="5" t="s">
        <v>66</v>
      </c>
      <c r="B42">
        <f>VLOOKUP(A42,'(Warmtevraag)'!B90:K101,10,FALSE)</f>
        <v>0</v>
      </c>
      <c r="C42">
        <f>IF(B42&lt;=$B$42,1,0)+IF(B42&lt;=$B$43,1,0)+IF(B42&lt;=$B$44,1,0)+IF(B42&lt;=$B$45,1,0)+IF(B42&lt;=$B$46,1,0)+IF(B42&lt;=$B$47,1,0)+IF(B42&lt;=$B$48,1,0)+IF(B42&lt;=$B$49,1,0)+IF(B42&lt;=$B$50,1,0)+IF(B42&lt;=$B$51,1,0)+IF(B42&lt;=$B$52,1,0)+IF(B42&lt;=$B$53,1,0)</f>
        <v>12</v>
      </c>
      <c r="D42">
        <f>IF(B42=$B$42,1,0)+IF(B42=$B$43,1,0)+IF(B42=$B$44,1,0)+IF(B42=$B$45,1,0)+IF(B42=$B$46,1,0)+IF(B42=$B$47,1,0)+IF(B42=$B$48,1,0)+IF(B42=$B$49,1,0)+IF(B42=$B$50,1,0)+IF(B42=$B$51,1,0)+IF(B42=$B$52,1,0)+IF(B42=$B$53,1,0)</f>
        <v>12</v>
      </c>
      <c r="E42">
        <f>IF($C42=E$41,1,0)</f>
        <v>0</v>
      </c>
      <c r="F42">
        <f t="shared" ref="F42:P42" si="2">IF($C42=F$41,1,0)</f>
        <v>0</v>
      </c>
      <c r="G42">
        <f t="shared" si="2"/>
        <v>0</v>
      </c>
      <c r="H42">
        <f t="shared" si="2"/>
        <v>0</v>
      </c>
      <c r="I42">
        <f t="shared" si="2"/>
        <v>0</v>
      </c>
      <c r="J42">
        <f t="shared" si="2"/>
        <v>0</v>
      </c>
      <c r="K42">
        <f t="shared" si="2"/>
        <v>0</v>
      </c>
      <c r="L42">
        <f t="shared" si="2"/>
        <v>0</v>
      </c>
      <c r="M42">
        <f t="shared" si="2"/>
        <v>0</v>
      </c>
      <c r="N42">
        <f t="shared" si="2"/>
        <v>0</v>
      </c>
      <c r="O42">
        <f t="shared" si="2"/>
        <v>0</v>
      </c>
      <c r="P42">
        <f t="shared" si="2"/>
        <v>1</v>
      </c>
      <c r="Q42">
        <f>IF(C42=1,E42,IF(C42=2,F42,IF(C42=3,G42,IF(C42=4,H42,IF(C42=5,I42,IF(C42=6,J42,IF(C42=7,K42,IF(C42=8,L42,IF(C42=9,M42,IF(C42=10,N42,IF(C42=11,O42,P42)))))))))))</f>
        <v>1</v>
      </c>
      <c r="R42">
        <f t="shared" ref="R42:R53" si="3">C42-D42+Q42</f>
        <v>1</v>
      </c>
      <c r="S42" t="s">
        <v>66</v>
      </c>
    </row>
    <row r="43" spans="1:19" x14ac:dyDescent="0.35">
      <c r="A43" s="5" t="s">
        <v>67</v>
      </c>
      <c r="B43">
        <f>VLOOKUP(A43,'(Warmtevraag)'!B91:K102,10,FALSE)</f>
        <v>0</v>
      </c>
      <c r="C43">
        <f t="shared" ref="C43:C53" si="4">IF(B43&lt;=$B$42,1,0)+IF(B43&lt;=$B$43,1,0)+IF(B43&lt;=$B$44,1,0)+IF(B43&lt;=$B$45,1,0)+IF(B43&lt;=$B$46,1,0)+IF(B43&lt;=$B$47,1,0)+IF(B43&lt;=$B$48,1,0)+IF(B43&lt;=$B$49,1,0)+IF(B43&lt;=$B$50,1,0)+IF(B43&lt;=$B$51,1,0)+IF(B43&lt;=$B$52,1,0)+IF(B43&lt;=$B$53,1,0)</f>
        <v>12</v>
      </c>
      <c r="D43">
        <f t="shared" ref="D43:D53" si="5">IF(B43=$B$42,1,0)+IF(B43=$B$43,1,0)+IF(B43=$B$44,1,0)+IF(B43=$B$45,1,0)+IF(B43=$B$46,1,0)+IF(B43=$B$47,1,0)+IF(B43=$B$48,1,0)+IF(B43=$B$49,1,0)+IF(B43=$B$50,1,0)+IF(B43=$B$51,1,0)+IF(B43=$B$52,1,0)+IF(B43=$B$53,1,0)</f>
        <v>12</v>
      </c>
      <c r="E43">
        <f>IF($C43=E$41,1+E42,E42)</f>
        <v>0</v>
      </c>
      <c r="F43">
        <f t="shared" ref="F43:P43" si="6">IF($C43=F$41,1+F42,F42)</f>
        <v>0</v>
      </c>
      <c r="G43">
        <f t="shared" si="6"/>
        <v>0</v>
      </c>
      <c r="H43">
        <f t="shared" si="6"/>
        <v>0</v>
      </c>
      <c r="I43">
        <f t="shared" si="6"/>
        <v>0</v>
      </c>
      <c r="J43">
        <f t="shared" si="6"/>
        <v>0</v>
      </c>
      <c r="K43">
        <f t="shared" si="6"/>
        <v>0</v>
      </c>
      <c r="L43">
        <f t="shared" si="6"/>
        <v>0</v>
      </c>
      <c r="M43">
        <f t="shared" si="6"/>
        <v>0</v>
      </c>
      <c r="N43">
        <f t="shared" si="6"/>
        <v>0</v>
      </c>
      <c r="O43">
        <f t="shared" si="6"/>
        <v>0</v>
      </c>
      <c r="P43">
        <f t="shared" si="6"/>
        <v>2</v>
      </c>
      <c r="Q43">
        <f t="shared" ref="Q43:Q53" si="7">IF(C43=1,E43,IF(C43=2,F43,IF(C43=3,G43,IF(C43=4,H43,IF(C43=5,I43,IF(C43=6,J43,IF(C43=7,K43,IF(C43=8,L43,IF(C43=9,M43,IF(C43=10,N43,IF(C43=11,O43,P43)))))))))))</f>
        <v>2</v>
      </c>
      <c r="R43">
        <f t="shared" si="3"/>
        <v>2</v>
      </c>
      <c r="S43" t="s">
        <v>67</v>
      </c>
    </row>
    <row r="44" spans="1:19" x14ac:dyDescent="0.35">
      <c r="A44" s="5" t="s">
        <v>68</v>
      </c>
      <c r="B44">
        <f>VLOOKUP(A44,'(Warmtevraag)'!B92:K103,10,FALSE)</f>
        <v>0</v>
      </c>
      <c r="C44">
        <f t="shared" si="4"/>
        <v>12</v>
      </c>
      <c r="D44">
        <f t="shared" si="5"/>
        <v>12</v>
      </c>
      <c r="E44">
        <f t="shared" ref="E44:E53" si="8">IF($C44=E$41,1+E43,E43)</f>
        <v>0</v>
      </c>
      <c r="F44">
        <f t="shared" ref="F44:F53" si="9">IF($C44=F$41,1+F43,F43)</f>
        <v>0</v>
      </c>
      <c r="G44">
        <f t="shared" ref="G44:G53" si="10">IF($C44=G$41,1+G43,G43)</f>
        <v>0</v>
      </c>
      <c r="H44">
        <f t="shared" ref="H44:H53" si="11">IF($C44=H$41,1+H43,H43)</f>
        <v>0</v>
      </c>
      <c r="I44">
        <f t="shared" ref="I44:I53" si="12">IF($C44=I$41,1+I43,I43)</f>
        <v>0</v>
      </c>
      <c r="J44">
        <f t="shared" ref="J44:J53" si="13">IF($C44=J$41,1+J43,J43)</f>
        <v>0</v>
      </c>
      <c r="K44">
        <f t="shared" ref="K44:K53" si="14">IF($C44=K$41,1+K43,K43)</f>
        <v>0</v>
      </c>
      <c r="L44">
        <f t="shared" ref="L44:L53" si="15">IF($C44=L$41,1+L43,L43)</f>
        <v>0</v>
      </c>
      <c r="M44">
        <f t="shared" ref="M44:M53" si="16">IF($C44=M$41,1+M43,M43)</f>
        <v>0</v>
      </c>
      <c r="N44">
        <f t="shared" ref="N44:N53" si="17">IF($C44=N$41,1+N43,N43)</f>
        <v>0</v>
      </c>
      <c r="O44">
        <f t="shared" ref="O44:O53" si="18">IF($C44=O$41,1+O43,O43)</f>
        <v>0</v>
      </c>
      <c r="P44">
        <f t="shared" ref="P44:P53" si="19">IF($C44=P$41,1+P43,P43)</f>
        <v>3</v>
      </c>
      <c r="Q44">
        <f t="shared" si="7"/>
        <v>3</v>
      </c>
      <c r="R44">
        <f t="shared" si="3"/>
        <v>3</v>
      </c>
      <c r="S44" t="s">
        <v>68</v>
      </c>
    </row>
    <row r="45" spans="1:19" x14ac:dyDescent="0.35">
      <c r="A45" s="5" t="s">
        <v>69</v>
      </c>
      <c r="B45">
        <f>VLOOKUP(A45,'(Warmtevraag)'!B93:K104,10,FALSE)</f>
        <v>0</v>
      </c>
      <c r="C45">
        <f t="shared" si="4"/>
        <v>12</v>
      </c>
      <c r="D45">
        <f t="shared" si="5"/>
        <v>12</v>
      </c>
      <c r="E45">
        <f t="shared" si="8"/>
        <v>0</v>
      </c>
      <c r="F45">
        <f t="shared" si="9"/>
        <v>0</v>
      </c>
      <c r="G45">
        <f t="shared" si="10"/>
        <v>0</v>
      </c>
      <c r="H45">
        <f t="shared" si="11"/>
        <v>0</v>
      </c>
      <c r="I45">
        <f t="shared" si="12"/>
        <v>0</v>
      </c>
      <c r="J45">
        <f t="shared" si="13"/>
        <v>0</v>
      </c>
      <c r="K45">
        <f t="shared" si="14"/>
        <v>0</v>
      </c>
      <c r="L45">
        <f t="shared" si="15"/>
        <v>0</v>
      </c>
      <c r="M45">
        <f t="shared" si="16"/>
        <v>0</v>
      </c>
      <c r="N45">
        <f t="shared" si="17"/>
        <v>0</v>
      </c>
      <c r="O45">
        <f t="shared" si="18"/>
        <v>0</v>
      </c>
      <c r="P45">
        <f t="shared" si="19"/>
        <v>4</v>
      </c>
      <c r="Q45">
        <f t="shared" si="7"/>
        <v>4</v>
      </c>
      <c r="R45">
        <f t="shared" si="3"/>
        <v>4</v>
      </c>
      <c r="S45" t="s">
        <v>69</v>
      </c>
    </row>
    <row r="46" spans="1:19" x14ac:dyDescent="0.35">
      <c r="A46" s="5" t="s">
        <v>70</v>
      </c>
      <c r="B46">
        <f>VLOOKUP(A46,'(Warmtevraag)'!B94:K105,10,FALSE)</f>
        <v>0</v>
      </c>
      <c r="C46">
        <f t="shared" si="4"/>
        <v>12</v>
      </c>
      <c r="D46">
        <f t="shared" si="5"/>
        <v>12</v>
      </c>
      <c r="E46">
        <f t="shared" si="8"/>
        <v>0</v>
      </c>
      <c r="F46">
        <f t="shared" si="9"/>
        <v>0</v>
      </c>
      <c r="G46">
        <f t="shared" si="10"/>
        <v>0</v>
      </c>
      <c r="H46">
        <f t="shared" si="11"/>
        <v>0</v>
      </c>
      <c r="I46">
        <f t="shared" si="12"/>
        <v>0</v>
      </c>
      <c r="J46">
        <f t="shared" si="13"/>
        <v>0</v>
      </c>
      <c r="K46">
        <f t="shared" si="14"/>
        <v>0</v>
      </c>
      <c r="L46">
        <f t="shared" si="15"/>
        <v>0</v>
      </c>
      <c r="M46">
        <f t="shared" si="16"/>
        <v>0</v>
      </c>
      <c r="N46">
        <f t="shared" si="17"/>
        <v>0</v>
      </c>
      <c r="O46">
        <f t="shared" si="18"/>
        <v>0</v>
      </c>
      <c r="P46">
        <f t="shared" si="19"/>
        <v>5</v>
      </c>
      <c r="Q46">
        <f t="shared" si="7"/>
        <v>5</v>
      </c>
      <c r="R46">
        <f t="shared" si="3"/>
        <v>5</v>
      </c>
      <c r="S46" t="s">
        <v>70</v>
      </c>
    </row>
    <row r="47" spans="1:19" x14ac:dyDescent="0.35">
      <c r="A47" s="5" t="s">
        <v>71</v>
      </c>
      <c r="B47">
        <f>VLOOKUP(A47,'(Warmtevraag)'!B95:K106,10,FALSE)</f>
        <v>0</v>
      </c>
      <c r="C47">
        <f t="shared" si="4"/>
        <v>12</v>
      </c>
      <c r="D47">
        <f t="shared" si="5"/>
        <v>12</v>
      </c>
      <c r="E47">
        <f t="shared" si="8"/>
        <v>0</v>
      </c>
      <c r="F47">
        <f t="shared" si="9"/>
        <v>0</v>
      </c>
      <c r="G47">
        <f t="shared" si="10"/>
        <v>0</v>
      </c>
      <c r="H47">
        <f t="shared" si="11"/>
        <v>0</v>
      </c>
      <c r="I47">
        <f t="shared" si="12"/>
        <v>0</v>
      </c>
      <c r="J47">
        <f t="shared" si="13"/>
        <v>0</v>
      </c>
      <c r="K47">
        <f t="shared" si="14"/>
        <v>0</v>
      </c>
      <c r="L47">
        <f t="shared" si="15"/>
        <v>0</v>
      </c>
      <c r="M47">
        <f t="shared" si="16"/>
        <v>0</v>
      </c>
      <c r="N47">
        <f t="shared" si="17"/>
        <v>0</v>
      </c>
      <c r="O47">
        <f t="shared" si="18"/>
        <v>0</v>
      </c>
      <c r="P47">
        <f t="shared" si="19"/>
        <v>6</v>
      </c>
      <c r="Q47">
        <f t="shared" si="7"/>
        <v>6</v>
      </c>
      <c r="R47">
        <f t="shared" si="3"/>
        <v>6</v>
      </c>
      <c r="S47" t="s">
        <v>71</v>
      </c>
    </row>
    <row r="48" spans="1:19" x14ac:dyDescent="0.35">
      <c r="A48" s="5" t="s">
        <v>72</v>
      </c>
      <c r="B48">
        <f>VLOOKUP(A48,'(Warmtevraag)'!B96:K107,10,FALSE)</f>
        <v>0</v>
      </c>
      <c r="C48">
        <f t="shared" si="4"/>
        <v>12</v>
      </c>
      <c r="D48">
        <f t="shared" si="5"/>
        <v>12</v>
      </c>
      <c r="E48">
        <f t="shared" si="8"/>
        <v>0</v>
      </c>
      <c r="F48">
        <f t="shared" si="9"/>
        <v>0</v>
      </c>
      <c r="G48">
        <f t="shared" si="10"/>
        <v>0</v>
      </c>
      <c r="H48">
        <f t="shared" si="11"/>
        <v>0</v>
      </c>
      <c r="I48">
        <f t="shared" si="12"/>
        <v>0</v>
      </c>
      <c r="J48">
        <f t="shared" si="13"/>
        <v>0</v>
      </c>
      <c r="K48">
        <f t="shared" si="14"/>
        <v>0</v>
      </c>
      <c r="L48">
        <f t="shared" si="15"/>
        <v>0</v>
      </c>
      <c r="M48">
        <f t="shared" si="16"/>
        <v>0</v>
      </c>
      <c r="N48">
        <f t="shared" si="17"/>
        <v>0</v>
      </c>
      <c r="O48">
        <f t="shared" si="18"/>
        <v>0</v>
      </c>
      <c r="P48">
        <f t="shared" si="19"/>
        <v>7</v>
      </c>
      <c r="Q48">
        <f t="shared" si="7"/>
        <v>7</v>
      </c>
      <c r="R48">
        <f t="shared" si="3"/>
        <v>7</v>
      </c>
      <c r="S48" t="s">
        <v>72</v>
      </c>
    </row>
    <row r="49" spans="1:19" x14ac:dyDescent="0.35">
      <c r="A49" s="5" t="s">
        <v>73</v>
      </c>
      <c r="B49">
        <f>VLOOKUP(A49,'(Warmtevraag)'!B97:K108,10,FALSE)</f>
        <v>0</v>
      </c>
      <c r="C49">
        <f t="shared" si="4"/>
        <v>12</v>
      </c>
      <c r="D49">
        <f t="shared" si="5"/>
        <v>12</v>
      </c>
      <c r="E49">
        <f t="shared" si="8"/>
        <v>0</v>
      </c>
      <c r="F49">
        <f t="shared" si="9"/>
        <v>0</v>
      </c>
      <c r="G49">
        <f t="shared" si="10"/>
        <v>0</v>
      </c>
      <c r="H49">
        <f t="shared" si="11"/>
        <v>0</v>
      </c>
      <c r="I49">
        <f t="shared" si="12"/>
        <v>0</v>
      </c>
      <c r="J49">
        <f t="shared" si="13"/>
        <v>0</v>
      </c>
      <c r="K49">
        <f t="shared" si="14"/>
        <v>0</v>
      </c>
      <c r="L49">
        <f t="shared" si="15"/>
        <v>0</v>
      </c>
      <c r="M49">
        <f t="shared" si="16"/>
        <v>0</v>
      </c>
      <c r="N49">
        <f t="shared" si="17"/>
        <v>0</v>
      </c>
      <c r="O49">
        <f t="shared" si="18"/>
        <v>0</v>
      </c>
      <c r="P49">
        <f t="shared" si="19"/>
        <v>8</v>
      </c>
      <c r="Q49">
        <f t="shared" si="7"/>
        <v>8</v>
      </c>
      <c r="R49">
        <f t="shared" si="3"/>
        <v>8</v>
      </c>
      <c r="S49" t="s">
        <v>73</v>
      </c>
    </row>
    <row r="50" spans="1:19" x14ac:dyDescent="0.35">
      <c r="A50" s="5" t="s">
        <v>74</v>
      </c>
      <c r="B50">
        <f>VLOOKUP(A50,'(Warmtevraag)'!B98:K109,10,FALSE)</f>
        <v>0</v>
      </c>
      <c r="C50">
        <f t="shared" si="4"/>
        <v>12</v>
      </c>
      <c r="D50">
        <f t="shared" si="5"/>
        <v>12</v>
      </c>
      <c r="E50">
        <f t="shared" si="8"/>
        <v>0</v>
      </c>
      <c r="F50">
        <f t="shared" si="9"/>
        <v>0</v>
      </c>
      <c r="G50">
        <f t="shared" si="10"/>
        <v>0</v>
      </c>
      <c r="H50">
        <f t="shared" si="11"/>
        <v>0</v>
      </c>
      <c r="I50">
        <f t="shared" si="12"/>
        <v>0</v>
      </c>
      <c r="J50">
        <f t="shared" si="13"/>
        <v>0</v>
      </c>
      <c r="K50">
        <f t="shared" si="14"/>
        <v>0</v>
      </c>
      <c r="L50">
        <f t="shared" si="15"/>
        <v>0</v>
      </c>
      <c r="M50">
        <f t="shared" si="16"/>
        <v>0</v>
      </c>
      <c r="N50">
        <f t="shared" si="17"/>
        <v>0</v>
      </c>
      <c r="O50">
        <f t="shared" si="18"/>
        <v>0</v>
      </c>
      <c r="P50">
        <f t="shared" si="19"/>
        <v>9</v>
      </c>
      <c r="Q50">
        <f t="shared" si="7"/>
        <v>9</v>
      </c>
      <c r="R50">
        <f t="shared" si="3"/>
        <v>9</v>
      </c>
      <c r="S50" t="s">
        <v>74</v>
      </c>
    </row>
    <row r="51" spans="1:19" x14ac:dyDescent="0.35">
      <c r="A51" s="5" t="s">
        <v>75</v>
      </c>
      <c r="B51">
        <f>VLOOKUP(A51,'(Warmtevraag)'!B99:K110,10,FALSE)</f>
        <v>0</v>
      </c>
      <c r="C51">
        <f t="shared" si="4"/>
        <v>12</v>
      </c>
      <c r="D51">
        <f t="shared" si="5"/>
        <v>12</v>
      </c>
      <c r="E51">
        <f t="shared" si="8"/>
        <v>0</v>
      </c>
      <c r="F51">
        <f t="shared" si="9"/>
        <v>0</v>
      </c>
      <c r="G51">
        <f t="shared" si="10"/>
        <v>0</v>
      </c>
      <c r="H51">
        <f t="shared" si="11"/>
        <v>0</v>
      </c>
      <c r="I51">
        <f t="shared" si="12"/>
        <v>0</v>
      </c>
      <c r="J51">
        <f t="shared" si="13"/>
        <v>0</v>
      </c>
      <c r="K51">
        <f t="shared" si="14"/>
        <v>0</v>
      </c>
      <c r="L51">
        <f t="shared" si="15"/>
        <v>0</v>
      </c>
      <c r="M51">
        <f t="shared" si="16"/>
        <v>0</v>
      </c>
      <c r="N51">
        <f t="shared" si="17"/>
        <v>0</v>
      </c>
      <c r="O51">
        <f t="shared" si="18"/>
        <v>0</v>
      </c>
      <c r="P51">
        <f t="shared" si="19"/>
        <v>10</v>
      </c>
      <c r="Q51">
        <f t="shared" si="7"/>
        <v>10</v>
      </c>
      <c r="R51">
        <f t="shared" si="3"/>
        <v>10</v>
      </c>
      <c r="S51" t="s">
        <v>75</v>
      </c>
    </row>
    <row r="52" spans="1:19" x14ac:dyDescent="0.35">
      <c r="A52" s="5" t="s">
        <v>76</v>
      </c>
      <c r="B52">
        <f>VLOOKUP(A52,'(Warmtevraag)'!B100:K111,10,FALSE)</f>
        <v>0</v>
      </c>
      <c r="C52">
        <f t="shared" si="4"/>
        <v>12</v>
      </c>
      <c r="D52">
        <f t="shared" si="5"/>
        <v>12</v>
      </c>
      <c r="E52">
        <f t="shared" si="8"/>
        <v>0</v>
      </c>
      <c r="F52">
        <f t="shared" si="9"/>
        <v>0</v>
      </c>
      <c r="G52">
        <f t="shared" si="10"/>
        <v>0</v>
      </c>
      <c r="H52">
        <f t="shared" si="11"/>
        <v>0</v>
      </c>
      <c r="I52">
        <f t="shared" si="12"/>
        <v>0</v>
      </c>
      <c r="J52">
        <f t="shared" si="13"/>
        <v>0</v>
      </c>
      <c r="K52">
        <f t="shared" si="14"/>
        <v>0</v>
      </c>
      <c r="L52">
        <f t="shared" si="15"/>
        <v>0</v>
      </c>
      <c r="M52">
        <f t="shared" si="16"/>
        <v>0</v>
      </c>
      <c r="N52">
        <f t="shared" si="17"/>
        <v>0</v>
      </c>
      <c r="O52">
        <f t="shared" si="18"/>
        <v>0</v>
      </c>
      <c r="P52">
        <f t="shared" si="19"/>
        <v>11</v>
      </c>
      <c r="Q52">
        <f t="shared" si="7"/>
        <v>11</v>
      </c>
      <c r="R52">
        <f t="shared" si="3"/>
        <v>11</v>
      </c>
      <c r="S52" t="s">
        <v>76</v>
      </c>
    </row>
    <row r="53" spans="1:19" x14ac:dyDescent="0.35">
      <c r="A53" s="5" t="s">
        <v>77</v>
      </c>
      <c r="B53">
        <f>VLOOKUP(A53,'(Warmtevraag)'!B101:K112,10,FALSE)</f>
        <v>0</v>
      </c>
      <c r="C53">
        <f t="shared" si="4"/>
        <v>12</v>
      </c>
      <c r="D53">
        <f t="shared" si="5"/>
        <v>12</v>
      </c>
      <c r="E53">
        <f t="shared" si="8"/>
        <v>0</v>
      </c>
      <c r="F53">
        <f t="shared" si="9"/>
        <v>0</v>
      </c>
      <c r="G53">
        <f t="shared" si="10"/>
        <v>0</v>
      </c>
      <c r="H53">
        <f t="shared" si="11"/>
        <v>0</v>
      </c>
      <c r="I53">
        <f t="shared" si="12"/>
        <v>0</v>
      </c>
      <c r="J53">
        <f t="shared" si="13"/>
        <v>0</v>
      </c>
      <c r="K53">
        <f t="shared" si="14"/>
        <v>0</v>
      </c>
      <c r="L53">
        <f t="shared" si="15"/>
        <v>0</v>
      </c>
      <c r="M53">
        <f t="shared" si="16"/>
        <v>0</v>
      </c>
      <c r="N53">
        <f t="shared" si="17"/>
        <v>0</v>
      </c>
      <c r="O53">
        <f t="shared" si="18"/>
        <v>0</v>
      </c>
      <c r="P53">
        <f t="shared" si="19"/>
        <v>12</v>
      </c>
      <c r="Q53">
        <f t="shared" si="7"/>
        <v>12</v>
      </c>
      <c r="R53">
        <f t="shared" si="3"/>
        <v>12</v>
      </c>
      <c r="S53" t="s">
        <v>77</v>
      </c>
    </row>
  </sheetData>
  <phoneticPr fontId="7"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13</vt:i4>
      </vt:variant>
    </vt:vector>
  </HeadingPairs>
  <TitlesOfParts>
    <vt:vector size="18" baseType="lpstr">
      <vt:lpstr>Inleiding</vt:lpstr>
      <vt:lpstr>(Warmtevraag)</vt:lpstr>
      <vt:lpstr>Technische Installatie</vt:lpstr>
      <vt:lpstr>Economische Analyse</vt:lpstr>
      <vt:lpstr>Masterdata</vt:lpstr>
      <vt:lpstr>Acht</vt:lpstr>
      <vt:lpstr>Drie</vt:lpstr>
      <vt:lpstr>Een</vt:lpstr>
      <vt:lpstr>Elf</vt:lpstr>
      <vt:lpstr>Negen</vt:lpstr>
      <vt:lpstr>Rangorde</vt:lpstr>
      <vt:lpstr>Tien</vt:lpstr>
      <vt:lpstr>Twaalf</vt:lpstr>
      <vt:lpstr>Twee</vt:lpstr>
      <vt:lpstr>Vier</vt:lpstr>
      <vt:lpstr>Vijf</vt:lpstr>
      <vt:lpstr>Zes</vt:lpstr>
      <vt:lpstr>Zeven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 Den Roden Schilt</dc:creator>
  <cp:lastModifiedBy>In Den Roden Schilt</cp:lastModifiedBy>
  <dcterms:created xsi:type="dcterms:W3CDTF">2020-05-15T15:38:04Z</dcterms:created>
  <dcterms:modified xsi:type="dcterms:W3CDTF">2020-06-10T12:41:45Z</dcterms:modified>
</cp:coreProperties>
</file>